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255"/>
  </bookViews>
  <sheets>
    <sheet name="Sheet1" sheetId="1" r:id="rId1"/>
  </sheets>
  <definedNames>
    <definedName name="_xlnm._FilterDatabase" localSheetId="0" hidden="1">Sheet1!$A$1:$O$170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69" i="1"/>
  <c r="D169"/>
  <c r="C169"/>
  <c r="B169"/>
  <c r="E168"/>
  <c r="D168"/>
  <c r="C168"/>
  <c r="B168"/>
  <c r="E167"/>
  <c r="D167"/>
  <c r="C167"/>
  <c r="B167"/>
  <c r="E166"/>
  <c r="D166"/>
  <c r="C166"/>
  <c r="B166"/>
  <c r="E164"/>
  <c r="D164"/>
  <c r="C164"/>
  <c r="B164"/>
  <c r="E162"/>
  <c r="D162"/>
  <c r="C162"/>
  <c r="B162"/>
  <c r="E161"/>
  <c r="D161"/>
  <c r="C161"/>
  <c r="B161"/>
  <c r="E158"/>
  <c r="D158"/>
  <c r="C158"/>
  <c r="B158"/>
  <c r="E157"/>
  <c r="D157"/>
  <c r="C157"/>
  <c r="B157"/>
  <c r="E156"/>
  <c r="D156"/>
  <c r="C156"/>
  <c r="B156"/>
  <c r="E155"/>
  <c r="D155"/>
  <c r="C155"/>
  <c r="B155"/>
  <c r="E154"/>
  <c r="D154"/>
  <c r="C154"/>
  <c r="B154"/>
  <c r="E153"/>
  <c r="D153"/>
  <c r="C153"/>
  <c r="B153"/>
  <c r="E152"/>
  <c r="D152"/>
  <c r="C152"/>
  <c r="B152"/>
  <c r="E151"/>
  <c r="D151"/>
  <c r="C151"/>
  <c r="B151"/>
  <c r="E150"/>
  <c r="D150"/>
  <c r="C150"/>
  <c r="B150"/>
  <c r="E149"/>
  <c r="D149"/>
  <c r="C149"/>
  <c r="B149"/>
  <c r="E148"/>
  <c r="D148"/>
  <c r="C148"/>
  <c r="B148"/>
  <c r="E147"/>
  <c r="D147"/>
  <c r="C147"/>
  <c r="B147"/>
  <c r="E146"/>
  <c r="D146"/>
  <c r="C146"/>
  <c r="B146"/>
  <c r="E145"/>
  <c r="D145"/>
  <c r="C145"/>
  <c r="B145"/>
  <c r="E144"/>
  <c r="D144"/>
  <c r="C144"/>
  <c r="B144"/>
  <c r="E143"/>
  <c r="D143"/>
  <c r="C143"/>
  <c r="B143"/>
  <c r="E142"/>
  <c r="D142"/>
  <c r="C142"/>
  <c r="B142"/>
  <c r="E138"/>
  <c r="D138"/>
  <c r="C138"/>
  <c r="B138"/>
  <c r="E139"/>
  <c r="D139"/>
  <c r="C139"/>
  <c r="B139"/>
  <c r="E140"/>
  <c r="D140"/>
  <c r="C140"/>
  <c r="B140"/>
  <c r="E137"/>
  <c r="D137"/>
  <c r="C137"/>
  <c r="B137"/>
  <c r="E136"/>
  <c r="D136"/>
  <c r="C136"/>
  <c r="B136"/>
  <c r="E135"/>
  <c r="D135"/>
  <c r="C135"/>
  <c r="B135"/>
  <c r="E134"/>
  <c r="D134"/>
  <c r="C134"/>
  <c r="B134"/>
  <c r="E132"/>
  <c r="D132"/>
  <c r="C132"/>
  <c r="B132"/>
  <c r="E131"/>
  <c r="D131"/>
  <c r="C131"/>
  <c r="B131"/>
  <c r="E130"/>
  <c r="D130"/>
  <c r="C130"/>
  <c r="B130"/>
  <c r="E129"/>
  <c r="D129"/>
  <c r="C129"/>
  <c r="B129"/>
  <c r="E128"/>
  <c r="D128"/>
  <c r="C128"/>
  <c r="B128"/>
  <c r="E127"/>
  <c r="D127"/>
  <c r="C127"/>
  <c r="B127"/>
  <c r="E126"/>
  <c r="D126"/>
  <c r="C126"/>
  <c r="B126"/>
  <c r="E125"/>
  <c r="D125"/>
  <c r="C125"/>
  <c r="B125"/>
  <c r="E124"/>
  <c r="D124"/>
  <c r="C124"/>
  <c r="B124"/>
  <c r="E123"/>
  <c r="D123"/>
  <c r="C123"/>
  <c r="B123"/>
  <c r="E122"/>
  <c r="D122"/>
  <c r="C122"/>
  <c r="B122"/>
  <c r="E121"/>
  <c r="D121"/>
  <c r="C121"/>
  <c r="B121"/>
  <c r="E120"/>
  <c r="D120"/>
  <c r="C120"/>
  <c r="B120"/>
  <c r="E119"/>
  <c r="D119"/>
  <c r="C119"/>
  <c r="B119"/>
  <c r="E118"/>
  <c r="D118"/>
  <c r="C118"/>
  <c r="B118"/>
  <c r="E117"/>
  <c r="D117"/>
  <c r="C117"/>
  <c r="B117"/>
  <c r="E116"/>
  <c r="D116"/>
  <c r="C116"/>
  <c r="B116"/>
  <c r="E115"/>
  <c r="D115"/>
  <c r="C115"/>
  <c r="B115"/>
  <c r="E114"/>
  <c r="D114"/>
  <c r="C114"/>
  <c r="B114"/>
  <c r="E112"/>
  <c r="D112"/>
  <c r="C112"/>
  <c r="B112"/>
  <c r="E111"/>
  <c r="D111"/>
  <c r="C111"/>
  <c r="B111"/>
  <c r="E110"/>
  <c r="D110"/>
  <c r="C110"/>
  <c r="B110"/>
  <c r="E107"/>
  <c r="D107"/>
  <c r="C107"/>
  <c r="B107"/>
  <c r="E106"/>
  <c r="D106"/>
  <c r="C106"/>
  <c r="B106"/>
  <c r="E105"/>
  <c r="D105"/>
  <c r="C105"/>
  <c r="B105"/>
  <c r="E104"/>
  <c r="D104"/>
  <c r="C104"/>
  <c r="B104"/>
  <c r="E103"/>
  <c r="D103"/>
  <c r="C103"/>
  <c r="B103"/>
  <c r="E102"/>
  <c r="D102"/>
  <c r="C102"/>
  <c r="B102"/>
  <c r="E101"/>
  <c r="D101"/>
  <c r="C101"/>
  <c r="B101"/>
  <c r="E100"/>
  <c r="D100"/>
  <c r="C100"/>
  <c r="B100"/>
  <c r="E99"/>
  <c r="D99"/>
  <c r="C99"/>
  <c r="B99"/>
  <c r="E98"/>
  <c r="D98"/>
  <c r="C98"/>
  <c r="B98"/>
  <c r="E97"/>
  <c r="D97"/>
  <c r="C97"/>
  <c r="B97"/>
  <c r="E96"/>
  <c r="D96"/>
  <c r="C96"/>
  <c r="B96"/>
  <c r="E94"/>
  <c r="D94"/>
  <c r="C94"/>
  <c r="B94"/>
  <c r="E95"/>
  <c r="D95"/>
  <c r="C95"/>
  <c r="B95"/>
  <c r="E93"/>
  <c r="D93"/>
  <c r="C93"/>
  <c r="B93"/>
  <c r="E92"/>
  <c r="D92"/>
  <c r="C92"/>
  <c r="B92"/>
  <c r="E91"/>
  <c r="D91"/>
  <c r="C91"/>
  <c r="B91"/>
  <c r="E90"/>
  <c r="D90"/>
  <c r="C90"/>
  <c r="B90"/>
  <c r="E89"/>
  <c r="D89"/>
  <c r="C89"/>
  <c r="B89"/>
  <c r="E88"/>
  <c r="D88"/>
  <c r="C88"/>
  <c r="B88"/>
  <c r="E87"/>
  <c r="D87"/>
  <c r="C87"/>
  <c r="B87"/>
  <c r="E86"/>
  <c r="D86"/>
  <c r="C86"/>
  <c r="B86"/>
  <c r="E85"/>
  <c r="D85"/>
  <c r="C85"/>
  <c r="B85"/>
  <c r="E84"/>
  <c r="D84"/>
  <c r="C84"/>
  <c r="B84"/>
  <c r="E83"/>
  <c r="D83"/>
  <c r="C83"/>
  <c r="B83"/>
  <c r="E82"/>
  <c r="D82"/>
  <c r="C82"/>
  <c r="B82"/>
  <c r="E81"/>
  <c r="D81"/>
  <c r="C81"/>
  <c r="B81"/>
  <c r="E80"/>
  <c r="D80"/>
  <c r="C80"/>
  <c r="B80"/>
  <c r="E79"/>
  <c r="D79"/>
  <c r="C79"/>
  <c r="B79"/>
  <c r="E78"/>
  <c r="D78"/>
  <c r="C78"/>
  <c r="B78"/>
  <c r="E77"/>
  <c r="D77"/>
  <c r="C77"/>
  <c r="B77"/>
  <c r="E75"/>
  <c r="D75"/>
  <c r="C75"/>
  <c r="B75"/>
  <c r="E74"/>
  <c r="D74"/>
  <c r="C74"/>
  <c r="B74"/>
  <c r="E73"/>
  <c r="D73"/>
  <c r="C73"/>
  <c r="B73"/>
  <c r="E72"/>
  <c r="D72"/>
  <c r="C72"/>
  <c r="B72"/>
  <c r="E71"/>
  <c r="D71"/>
  <c r="C71"/>
  <c r="B71"/>
  <c r="E69"/>
  <c r="D69"/>
  <c r="C69"/>
  <c r="B69"/>
  <c r="E66"/>
  <c r="D66"/>
  <c r="C66"/>
  <c r="B66"/>
  <c r="E65"/>
  <c r="D65"/>
  <c r="C65"/>
  <c r="B65"/>
  <c r="E64"/>
  <c r="D64"/>
  <c r="C64"/>
  <c r="B64"/>
  <c r="E63"/>
  <c r="D63"/>
  <c r="C63"/>
  <c r="B63"/>
  <c r="E62"/>
  <c r="D62"/>
  <c r="C62"/>
  <c r="B62"/>
  <c r="E61"/>
  <c r="D61"/>
  <c r="C61"/>
  <c r="B61"/>
  <c r="E60"/>
  <c r="D60"/>
  <c r="C60"/>
  <c r="B60"/>
  <c r="E58"/>
  <c r="D58"/>
  <c r="C58"/>
  <c r="B58"/>
  <c r="E57"/>
  <c r="D57"/>
  <c r="C57"/>
  <c r="B57"/>
  <c r="E56"/>
  <c r="D56"/>
  <c r="C56"/>
  <c r="B56"/>
  <c r="E55"/>
  <c r="D55"/>
  <c r="C55"/>
  <c r="B55"/>
  <c r="E54"/>
  <c r="D54"/>
  <c r="C54"/>
  <c r="B54"/>
  <c r="E53"/>
  <c r="D53"/>
  <c r="C53"/>
  <c r="B53"/>
  <c r="E52"/>
  <c r="D52"/>
  <c r="C52"/>
  <c r="B52"/>
  <c r="E51"/>
  <c r="D51"/>
  <c r="C51"/>
  <c r="B51"/>
  <c r="E50"/>
  <c r="D50"/>
  <c r="C50"/>
  <c r="B50"/>
  <c r="E49"/>
  <c r="D49"/>
  <c r="C49"/>
  <c r="B49"/>
  <c r="E48"/>
  <c r="D48"/>
  <c r="C48"/>
  <c r="B48"/>
  <c r="E47"/>
  <c r="D47"/>
  <c r="C47"/>
  <c r="B47"/>
  <c r="E46"/>
  <c r="D46"/>
  <c r="C46"/>
  <c r="B46"/>
  <c r="E45"/>
  <c r="D45"/>
  <c r="C45"/>
  <c r="B45"/>
  <c r="E44"/>
  <c r="D44"/>
  <c r="C44"/>
  <c r="B44"/>
  <c r="E43"/>
  <c r="D43"/>
  <c r="C43"/>
  <c r="B43"/>
  <c r="E42"/>
  <c r="D42"/>
  <c r="C42"/>
  <c r="B42"/>
  <c r="E41"/>
  <c r="D41"/>
  <c r="C41"/>
  <c r="B41"/>
  <c r="E40"/>
  <c r="D40"/>
  <c r="C40"/>
  <c r="B40"/>
  <c r="E39"/>
  <c r="D39"/>
  <c r="C39"/>
  <c r="B39"/>
  <c r="E38"/>
  <c r="D38"/>
  <c r="C38"/>
  <c r="B38"/>
  <c r="E37"/>
  <c r="D37"/>
  <c r="C37"/>
  <c r="B37"/>
  <c r="E36"/>
  <c r="D36"/>
  <c r="C36"/>
  <c r="B36"/>
  <c r="E35"/>
  <c r="D35"/>
  <c r="C35"/>
  <c r="B35"/>
  <c r="E34"/>
  <c r="D34"/>
  <c r="C34"/>
  <c r="B34"/>
  <c r="E33"/>
  <c r="D33"/>
  <c r="C33"/>
  <c r="B33"/>
  <c r="E32"/>
  <c r="D32"/>
  <c r="C32"/>
  <c r="B32"/>
  <c r="E31"/>
  <c r="D31"/>
  <c r="C31"/>
  <c r="B31"/>
  <c r="E30"/>
  <c r="D30"/>
  <c r="C30"/>
  <c r="B30"/>
  <c r="E29"/>
  <c r="D29"/>
  <c r="C29"/>
  <c r="B29"/>
  <c r="E28"/>
  <c r="D28"/>
  <c r="C28"/>
  <c r="B28"/>
  <c r="E27"/>
  <c r="D27"/>
  <c r="C27"/>
  <c r="B27"/>
  <c r="E26"/>
  <c r="D26"/>
  <c r="C26"/>
  <c r="B26"/>
  <c r="E24"/>
  <c r="D24"/>
  <c r="C24"/>
  <c r="B24"/>
  <c r="E23"/>
  <c r="D23"/>
  <c r="C23"/>
  <c r="B23"/>
  <c r="E22"/>
  <c r="D22"/>
  <c r="C22"/>
  <c r="B22"/>
  <c r="E20"/>
  <c r="D20"/>
  <c r="C20"/>
  <c r="B20"/>
  <c r="E18"/>
  <c r="D18"/>
  <c r="C18"/>
  <c r="B18"/>
  <c r="E17"/>
  <c r="D17"/>
  <c r="C17"/>
  <c r="B17"/>
  <c r="E16"/>
  <c r="D16"/>
  <c r="C16"/>
  <c r="B16"/>
  <c r="E15"/>
  <c r="D15"/>
  <c r="C15"/>
  <c r="B15"/>
  <c r="E14"/>
  <c r="D14"/>
  <c r="C14"/>
  <c r="B14"/>
  <c r="E13"/>
  <c r="D13"/>
  <c r="C13"/>
  <c r="B13"/>
  <c r="E12"/>
  <c r="D12"/>
  <c r="C12"/>
  <c r="B12"/>
  <c r="E11"/>
  <c r="D11"/>
  <c r="C11"/>
  <c r="B11"/>
  <c r="E10"/>
  <c r="D10"/>
  <c r="C10"/>
  <c r="B10"/>
  <c r="E9"/>
  <c r="D9"/>
  <c r="C9"/>
  <c r="B9"/>
  <c r="E8"/>
  <c r="D8"/>
  <c r="C8"/>
  <c r="B8"/>
  <c r="E7"/>
  <c r="D7"/>
  <c r="C7"/>
  <c r="B7"/>
  <c r="E6"/>
  <c r="D6"/>
  <c r="C6"/>
  <c r="B6"/>
  <c r="E5"/>
  <c r="D5"/>
  <c r="C5"/>
  <c r="B5"/>
  <c r="E4"/>
  <c r="D4"/>
  <c r="C4"/>
  <c r="B4"/>
  <c r="E3"/>
  <c r="D3"/>
  <c r="C3"/>
  <c r="B3"/>
</calcChain>
</file>

<file path=xl/sharedStrings.xml><?xml version="1.0" encoding="utf-8"?>
<sst xmlns="http://schemas.openxmlformats.org/spreadsheetml/2006/main" count="277" uniqueCount="81">
  <si>
    <t>2024年度萧县中小学新任教师公开招聘面试成绩及综合合成成绩（第一批）</t>
  </si>
  <si>
    <t>序号</t>
  </si>
  <si>
    <t>职位代码</t>
  </si>
  <si>
    <t>准考证号</t>
  </si>
  <si>
    <t>考场号</t>
  </si>
  <si>
    <t>座位号</t>
  </si>
  <si>
    <t>职位名称</t>
  </si>
  <si>
    <t>教育综合知识成绩</t>
  </si>
  <si>
    <t>教育综合知识成绩赋分</t>
  </si>
  <si>
    <t>专业知识成绩</t>
  </si>
  <si>
    <t>专业知识成绩赋分</t>
  </si>
  <si>
    <t>政策性加分</t>
  </si>
  <si>
    <t>笔试总成绩</t>
  </si>
  <si>
    <t>面试成绩</t>
  </si>
  <si>
    <t>综合合成成绩</t>
  </si>
  <si>
    <t>备注</t>
  </si>
  <si>
    <t>小学语文</t>
  </si>
  <si>
    <t>20240301</t>
  </si>
  <si>
    <t>2410102812</t>
  </si>
  <si>
    <t>028</t>
  </si>
  <si>
    <t>12</t>
  </si>
  <si>
    <t>2410103522</t>
  </si>
  <si>
    <t>035</t>
  </si>
  <si>
    <t>22</t>
  </si>
  <si>
    <t>2410101010</t>
  </si>
  <si>
    <t>010</t>
  </si>
  <si>
    <t>10</t>
  </si>
  <si>
    <t>缺考</t>
  </si>
  <si>
    <t>小学数学</t>
  </si>
  <si>
    <t>20240302</t>
  </si>
  <si>
    <t>2410105513</t>
  </si>
  <si>
    <t>055</t>
  </si>
  <si>
    <t>13</t>
  </si>
  <si>
    <t>小学音乐</t>
  </si>
  <si>
    <t>20240303</t>
  </si>
  <si>
    <t>2410209019</t>
  </si>
  <si>
    <t>090</t>
  </si>
  <si>
    <t>19</t>
  </si>
  <si>
    <t>2410108427</t>
  </si>
  <si>
    <t>084</t>
  </si>
  <si>
    <t>27</t>
  </si>
  <si>
    <t>2410208915</t>
  </si>
  <si>
    <t>089</t>
  </si>
  <si>
    <t>15</t>
  </si>
  <si>
    <t>小学体育</t>
  </si>
  <si>
    <t>20240304</t>
  </si>
  <si>
    <t>2410209401</t>
  </si>
  <si>
    <t>094</t>
  </si>
  <si>
    <t>01</t>
  </si>
  <si>
    <t>小学美术</t>
  </si>
  <si>
    <t>初中语文1</t>
  </si>
  <si>
    <t>20240306</t>
  </si>
  <si>
    <t>2420100723</t>
  </si>
  <si>
    <t>007</t>
  </si>
  <si>
    <t>23</t>
  </si>
  <si>
    <t>2420101501</t>
  </si>
  <si>
    <t>015</t>
  </si>
  <si>
    <t>2420101327</t>
  </si>
  <si>
    <t>013</t>
  </si>
  <si>
    <t>初中语文2</t>
  </si>
  <si>
    <t>20240307</t>
  </si>
  <si>
    <t>2420102719</t>
  </si>
  <si>
    <t>027</t>
  </si>
  <si>
    <t>2420102002</t>
  </si>
  <si>
    <t>020</t>
  </si>
  <si>
    <t>02</t>
  </si>
  <si>
    <t>初中数学2</t>
  </si>
  <si>
    <t>20240309</t>
  </si>
  <si>
    <t>2420104915</t>
  </si>
  <si>
    <t>049</t>
  </si>
  <si>
    <t>2420104911</t>
  </si>
  <si>
    <t>11</t>
  </si>
  <si>
    <t>2420105929</t>
  </si>
  <si>
    <t>059</t>
  </si>
  <si>
    <t>29</t>
  </si>
  <si>
    <t>2420105025</t>
  </si>
  <si>
    <t>050</t>
  </si>
  <si>
    <t>25</t>
  </si>
  <si>
    <t>2420105430</t>
  </si>
  <si>
    <t>054</t>
  </si>
  <si>
    <t>30</t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</si>
</sst>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2" borderId="0" xfId="0" applyFill="1">
      <alignment vertical="center"/>
    </xf>
    <xf numFmtId="176" fontId="0" fillId="0" borderId="0" xfId="0" applyNumberFormat="1">
      <alignment vertical="center"/>
    </xf>
    <xf numFmtId="0" fontId="0" fillId="2" borderId="0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center" vertical="center" wrapText="1"/>
    </xf>
    <xf numFmtId="176" fontId="3" fillId="3" borderId="3" xfId="0" applyNumberFormat="1" applyFont="1" applyFill="1" applyBorder="1" applyAlignment="1">
      <alignment horizontal="center" vertical="center" wrapText="1"/>
    </xf>
    <xf numFmtId="176" fontId="3" fillId="3" borderId="3" xfId="0" applyNumberFormat="1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/>
    </xf>
    <xf numFmtId="0" fontId="3" fillId="3" borderId="3" xfId="0" applyNumberFormat="1" applyFont="1" applyFill="1" applyBorder="1" applyAlignment="1">
      <alignment horizontal="center" vertical="center" wrapText="1"/>
    </xf>
    <xf numFmtId="176" fontId="0" fillId="3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 wrapText="1"/>
    </xf>
    <xf numFmtId="176" fontId="3" fillId="2" borderId="3" xfId="0" applyNumberFormat="1" applyFont="1" applyFill="1" applyBorder="1" applyAlignment="1">
      <alignment horizontal="center" vertical="center" wrapText="1"/>
    </xf>
    <xf numFmtId="176" fontId="3" fillId="2" borderId="3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/>
    </xf>
    <xf numFmtId="176" fontId="0" fillId="2" borderId="1" xfId="0" applyNumberFormat="1" applyFont="1" applyFill="1" applyBorder="1" applyAlignment="1">
      <alignment horizontal="center" vertical="center"/>
    </xf>
    <xf numFmtId="176" fontId="0" fillId="4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 wrapText="1"/>
    </xf>
    <xf numFmtId="176" fontId="0" fillId="4" borderId="1" xfId="0" applyNumberForma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0" fillId="3" borderId="1" xfId="0" applyNumberForma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3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31"/>
      <tableStyleElement type="headerRow" dxfId="30"/>
      <tableStyleElement type="totalRow" dxfId="29"/>
      <tableStyleElement type="firstColumn" dxfId="28"/>
      <tableStyleElement type="lastColumn" dxfId="27"/>
      <tableStyleElement type="firstRowStripe" dxfId="26"/>
      <tableStyleElement type="firstColumnStripe" dxfId="25"/>
    </tableStyle>
    <tableStyle name="PivotStylePreset2_Accent1" table="0" count="10">
      <tableStyleElement type="headerRow" dxfId="24"/>
      <tableStyleElement type="totalRow" dxfId="23"/>
      <tableStyleElement type="firstRowStripe" dxfId="22"/>
      <tableStyleElement type="firstColumnStripe" dxfId="21"/>
      <tableStyleElement type="firstSubtotalRow" dxfId="20"/>
      <tableStyleElement type="secondSubtotalRow" dxfId="19"/>
      <tableStyleElement type="firstRowSubheading" dxfId="18"/>
      <tableStyleElement type="secondRowSubheading" dxfId="17"/>
      <tableStyleElement type="pageFieldLabels" dxfId="16"/>
      <tableStyleElement type="pageFieldValues" dxfId="15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170"/>
  <sheetViews>
    <sheetView tabSelected="1" zoomScale="85" zoomScaleNormal="85" workbookViewId="0">
      <selection activeCell="R11" sqref="R11"/>
    </sheetView>
  </sheetViews>
  <sheetFormatPr defaultColWidth="9" defaultRowHeight="24" customHeight="1"/>
  <cols>
    <col min="1" max="1" width="6" customWidth="1"/>
    <col min="2" max="2" width="10.375" customWidth="1"/>
    <col min="3" max="3" width="11.5" customWidth="1"/>
    <col min="4" max="4" width="7.125" customWidth="1"/>
    <col min="5" max="5" width="6.875" customWidth="1"/>
    <col min="6" max="6" width="10.5" customWidth="1"/>
    <col min="7" max="10" width="9" customWidth="1"/>
    <col min="11" max="11" width="6.25" customWidth="1"/>
    <col min="12" max="12" width="8.75" customWidth="1"/>
    <col min="13" max="14" width="8.75" style="3" customWidth="1"/>
    <col min="15" max="15" width="12" style="4" customWidth="1"/>
  </cols>
  <sheetData>
    <row r="1" spans="1:15" s="1" customFormat="1" ht="42" customHeight="1">
      <c r="A1" s="45" t="s">
        <v>0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6"/>
      <c r="N1" s="46"/>
      <c r="O1" s="45"/>
    </row>
    <row r="2" spans="1:15" s="1" customFormat="1" ht="45" customHeight="1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17" t="s">
        <v>8</v>
      </c>
      <c r="I2" s="8" t="s">
        <v>9</v>
      </c>
      <c r="J2" s="17" t="s">
        <v>10</v>
      </c>
      <c r="K2" s="8" t="s">
        <v>11</v>
      </c>
      <c r="L2" s="18" t="s">
        <v>12</v>
      </c>
      <c r="M2" s="19" t="s">
        <v>13</v>
      </c>
      <c r="N2" s="19" t="s">
        <v>14</v>
      </c>
      <c r="O2" s="13" t="s">
        <v>15</v>
      </c>
    </row>
    <row r="3" spans="1:15" s="1" customFormat="1" ht="24" customHeight="1">
      <c r="A3" s="9">
        <v>1</v>
      </c>
      <c r="B3" s="10" t="str">
        <f t="shared" ref="B3:B18" si="0">"20240301"</f>
        <v>20240301</v>
      </c>
      <c r="C3" s="11" t="str">
        <f>"2410100530"</f>
        <v>2410100530</v>
      </c>
      <c r="D3" s="11" t="str">
        <f>"005"</f>
        <v>005</v>
      </c>
      <c r="E3" s="11" t="str">
        <f>"30"</f>
        <v>30</v>
      </c>
      <c r="F3" s="12" t="s">
        <v>16</v>
      </c>
      <c r="G3" s="12">
        <v>88.5</v>
      </c>
      <c r="H3" s="20">
        <v>73.75</v>
      </c>
      <c r="I3" s="12">
        <v>85.6</v>
      </c>
      <c r="J3" s="20">
        <v>71.3333333333333</v>
      </c>
      <c r="K3" s="12"/>
      <c r="L3" s="21">
        <v>72.5416666666667</v>
      </c>
      <c r="M3" s="22">
        <v>92.9</v>
      </c>
      <c r="N3" s="23">
        <v>80.69</v>
      </c>
      <c r="O3" s="13"/>
    </row>
    <row r="4" spans="1:15" s="1" customFormat="1" ht="24" customHeight="1">
      <c r="A4" s="9">
        <v>2</v>
      </c>
      <c r="B4" s="10" t="str">
        <f t="shared" si="0"/>
        <v>20240301</v>
      </c>
      <c r="C4" s="11" t="str">
        <f>"2410103611"</f>
        <v>2410103611</v>
      </c>
      <c r="D4" s="11" t="str">
        <f>"036"</f>
        <v>036</v>
      </c>
      <c r="E4" s="11" t="str">
        <f>"11"</f>
        <v>11</v>
      </c>
      <c r="F4" s="12" t="s">
        <v>16</v>
      </c>
      <c r="G4" s="12">
        <v>85</v>
      </c>
      <c r="H4" s="20">
        <v>70.8333333333333</v>
      </c>
      <c r="I4" s="12">
        <v>84</v>
      </c>
      <c r="J4" s="20">
        <v>70</v>
      </c>
      <c r="K4" s="12"/>
      <c r="L4" s="21">
        <v>70.4166666666667</v>
      </c>
      <c r="M4" s="22">
        <v>92.48</v>
      </c>
      <c r="N4" s="23">
        <v>79.239999999999995</v>
      </c>
      <c r="O4" s="13"/>
    </row>
    <row r="5" spans="1:15" s="1" customFormat="1" ht="24" customHeight="1">
      <c r="A5" s="9">
        <v>3</v>
      </c>
      <c r="B5" s="10" t="str">
        <f t="shared" si="0"/>
        <v>20240301</v>
      </c>
      <c r="C5" s="11" t="str">
        <f>"2410101805"</f>
        <v>2410101805</v>
      </c>
      <c r="D5" s="11" t="str">
        <f>"018"</f>
        <v>018</v>
      </c>
      <c r="E5" s="11" t="str">
        <f>"05"</f>
        <v>05</v>
      </c>
      <c r="F5" s="12" t="s">
        <v>16</v>
      </c>
      <c r="G5" s="12">
        <v>85.5</v>
      </c>
      <c r="H5" s="20">
        <v>71.25</v>
      </c>
      <c r="I5" s="12">
        <v>83.9</v>
      </c>
      <c r="J5" s="20">
        <v>69.9166666666667</v>
      </c>
      <c r="K5" s="12"/>
      <c r="L5" s="21">
        <v>70.5833333333333</v>
      </c>
      <c r="M5" s="22">
        <v>90.33</v>
      </c>
      <c r="N5" s="23">
        <v>78.48</v>
      </c>
      <c r="O5" s="13"/>
    </row>
    <row r="6" spans="1:15" s="1" customFormat="1" ht="24" customHeight="1">
      <c r="A6" s="9">
        <v>4</v>
      </c>
      <c r="B6" s="10" t="str">
        <f t="shared" si="0"/>
        <v>20240301</v>
      </c>
      <c r="C6" s="11" t="str">
        <f>"2410103623"</f>
        <v>2410103623</v>
      </c>
      <c r="D6" s="11" t="str">
        <f>"036"</f>
        <v>036</v>
      </c>
      <c r="E6" s="11" t="str">
        <f>"23"</f>
        <v>23</v>
      </c>
      <c r="F6" s="12" t="s">
        <v>16</v>
      </c>
      <c r="G6" s="12">
        <v>84</v>
      </c>
      <c r="H6" s="20">
        <v>70</v>
      </c>
      <c r="I6" s="12">
        <v>83.4</v>
      </c>
      <c r="J6" s="20">
        <v>69.5</v>
      </c>
      <c r="K6" s="12"/>
      <c r="L6" s="21">
        <v>69.75</v>
      </c>
      <c r="M6" s="22">
        <v>91.26</v>
      </c>
      <c r="N6" s="23">
        <v>78.349999999999994</v>
      </c>
      <c r="O6" s="13"/>
    </row>
    <row r="7" spans="1:15" s="1" customFormat="1" ht="24" customHeight="1">
      <c r="A7" s="9">
        <v>5</v>
      </c>
      <c r="B7" s="10" t="str">
        <f t="shared" si="0"/>
        <v>20240301</v>
      </c>
      <c r="C7" s="11" t="str">
        <f>"2410103103"</f>
        <v>2410103103</v>
      </c>
      <c r="D7" s="11" t="str">
        <f>"031"</f>
        <v>031</v>
      </c>
      <c r="E7" s="11" t="str">
        <f>"03"</f>
        <v>03</v>
      </c>
      <c r="F7" s="12" t="s">
        <v>16</v>
      </c>
      <c r="G7" s="12">
        <v>85</v>
      </c>
      <c r="H7" s="20">
        <v>70.8333333333333</v>
      </c>
      <c r="I7" s="12">
        <v>80.900000000000006</v>
      </c>
      <c r="J7" s="20">
        <v>67.4166666666667</v>
      </c>
      <c r="K7" s="12"/>
      <c r="L7" s="21">
        <v>69.125</v>
      </c>
      <c r="M7" s="24">
        <v>91.11</v>
      </c>
      <c r="N7" s="23">
        <v>77.92</v>
      </c>
      <c r="O7" s="13"/>
    </row>
    <row r="8" spans="1:15" s="1" customFormat="1" ht="24" customHeight="1">
      <c r="A8" s="9">
        <v>6</v>
      </c>
      <c r="B8" s="10" t="str">
        <f t="shared" si="0"/>
        <v>20240301</v>
      </c>
      <c r="C8" s="11" t="str">
        <f>"2410100820"</f>
        <v>2410100820</v>
      </c>
      <c r="D8" s="11" t="str">
        <f>"008"</f>
        <v>008</v>
      </c>
      <c r="E8" s="11" t="str">
        <f>"20"</f>
        <v>20</v>
      </c>
      <c r="F8" s="12" t="s">
        <v>16</v>
      </c>
      <c r="G8" s="12">
        <v>88.5</v>
      </c>
      <c r="H8" s="20">
        <v>73.75</v>
      </c>
      <c r="I8" s="12">
        <v>80.7</v>
      </c>
      <c r="J8" s="20">
        <v>67.25</v>
      </c>
      <c r="K8" s="12"/>
      <c r="L8" s="21">
        <v>70.5</v>
      </c>
      <c r="M8" s="22">
        <v>88.95</v>
      </c>
      <c r="N8" s="23">
        <v>77.88</v>
      </c>
      <c r="O8" s="13"/>
    </row>
    <row r="9" spans="1:15" s="1" customFormat="1" ht="24" customHeight="1">
      <c r="A9" s="9">
        <v>7</v>
      </c>
      <c r="B9" s="10" t="str">
        <f t="shared" si="0"/>
        <v>20240301</v>
      </c>
      <c r="C9" s="11" t="str">
        <f>"2410102816"</f>
        <v>2410102816</v>
      </c>
      <c r="D9" s="11" t="str">
        <f>"028"</f>
        <v>028</v>
      </c>
      <c r="E9" s="11" t="str">
        <f>"16"</f>
        <v>16</v>
      </c>
      <c r="F9" s="12" t="s">
        <v>16</v>
      </c>
      <c r="G9" s="12">
        <v>79</v>
      </c>
      <c r="H9" s="20">
        <v>65.8333333333333</v>
      </c>
      <c r="I9" s="12">
        <v>85.4</v>
      </c>
      <c r="J9" s="20">
        <v>71.1666666666667</v>
      </c>
      <c r="K9" s="12"/>
      <c r="L9" s="21">
        <v>68.5</v>
      </c>
      <c r="M9" s="22">
        <v>91.03</v>
      </c>
      <c r="N9" s="23">
        <v>77.510000000000005</v>
      </c>
      <c r="O9" s="13"/>
    </row>
    <row r="10" spans="1:15" s="1" customFormat="1" ht="24" customHeight="1">
      <c r="A10" s="9">
        <v>8</v>
      </c>
      <c r="B10" s="10" t="str">
        <f t="shared" si="0"/>
        <v>20240301</v>
      </c>
      <c r="C10" s="11" t="str">
        <f>"2410104004"</f>
        <v>2410104004</v>
      </c>
      <c r="D10" s="11" t="str">
        <f>"040"</f>
        <v>040</v>
      </c>
      <c r="E10" s="11" t="str">
        <f>"04"</f>
        <v>04</v>
      </c>
      <c r="F10" s="12" t="s">
        <v>16</v>
      </c>
      <c r="G10" s="12">
        <v>86</v>
      </c>
      <c r="H10" s="20">
        <v>71.6666666666667</v>
      </c>
      <c r="I10" s="12">
        <v>77.099999999999994</v>
      </c>
      <c r="J10" s="20">
        <v>64.25</v>
      </c>
      <c r="K10" s="12"/>
      <c r="L10" s="21">
        <v>67.9583333333333</v>
      </c>
      <c r="M10" s="22">
        <v>90.43</v>
      </c>
      <c r="N10" s="23">
        <v>76.95</v>
      </c>
      <c r="O10" s="13"/>
    </row>
    <row r="11" spans="1:15" s="1" customFormat="1" ht="24" customHeight="1">
      <c r="A11" s="9">
        <v>9</v>
      </c>
      <c r="B11" s="10" t="str">
        <f t="shared" si="0"/>
        <v>20240301</v>
      </c>
      <c r="C11" s="11" t="str">
        <f>"2410103705"</f>
        <v>2410103705</v>
      </c>
      <c r="D11" s="11" t="str">
        <f>"037"</f>
        <v>037</v>
      </c>
      <c r="E11" s="11" t="str">
        <f>"05"</f>
        <v>05</v>
      </c>
      <c r="F11" s="12" t="s">
        <v>16</v>
      </c>
      <c r="G11" s="12">
        <v>77</v>
      </c>
      <c r="H11" s="20">
        <v>64.1666666666667</v>
      </c>
      <c r="I11" s="12">
        <v>84.9</v>
      </c>
      <c r="J11" s="20">
        <v>70.75</v>
      </c>
      <c r="K11" s="12"/>
      <c r="L11" s="21">
        <v>67.4583333333333</v>
      </c>
      <c r="M11" s="22">
        <v>91.13</v>
      </c>
      <c r="N11" s="23">
        <v>76.930000000000007</v>
      </c>
      <c r="O11" s="13"/>
    </row>
    <row r="12" spans="1:15" s="1" customFormat="1" ht="24" customHeight="1">
      <c r="A12" s="9">
        <v>10</v>
      </c>
      <c r="B12" s="10" t="str">
        <f t="shared" si="0"/>
        <v>20240301</v>
      </c>
      <c r="C12" s="11" t="str">
        <f>"2410101417"</f>
        <v>2410101417</v>
      </c>
      <c r="D12" s="11" t="str">
        <f>"014"</f>
        <v>014</v>
      </c>
      <c r="E12" s="11" t="str">
        <f>"17"</f>
        <v>17</v>
      </c>
      <c r="F12" s="12" t="s">
        <v>16</v>
      </c>
      <c r="G12" s="12">
        <v>84</v>
      </c>
      <c r="H12" s="20">
        <v>70</v>
      </c>
      <c r="I12" s="12">
        <v>81.599999999999994</v>
      </c>
      <c r="J12" s="20">
        <v>68</v>
      </c>
      <c r="K12" s="12"/>
      <c r="L12" s="21">
        <v>69</v>
      </c>
      <c r="M12" s="22">
        <v>88.8</v>
      </c>
      <c r="N12" s="23">
        <v>76.92</v>
      </c>
      <c r="O12" s="13"/>
    </row>
    <row r="13" spans="1:15" s="1" customFormat="1" ht="24" customHeight="1">
      <c r="A13" s="9">
        <v>11</v>
      </c>
      <c r="B13" s="10" t="str">
        <f t="shared" si="0"/>
        <v>20240301</v>
      </c>
      <c r="C13" s="11" t="str">
        <f>"2410100315"</f>
        <v>2410100315</v>
      </c>
      <c r="D13" s="11" t="str">
        <f>"003"</f>
        <v>003</v>
      </c>
      <c r="E13" s="11" t="str">
        <f>"15"</f>
        <v>15</v>
      </c>
      <c r="F13" s="12" t="s">
        <v>16</v>
      </c>
      <c r="G13" s="12">
        <v>80.5</v>
      </c>
      <c r="H13" s="20">
        <v>67.0833333333333</v>
      </c>
      <c r="I13" s="12">
        <v>82.7</v>
      </c>
      <c r="J13" s="20">
        <v>68.9166666666667</v>
      </c>
      <c r="K13" s="12"/>
      <c r="L13" s="21">
        <v>68</v>
      </c>
      <c r="M13" s="22">
        <v>90.13</v>
      </c>
      <c r="N13" s="23">
        <v>76.849999999999994</v>
      </c>
      <c r="O13" s="13"/>
    </row>
    <row r="14" spans="1:15" s="1" customFormat="1" ht="24" customHeight="1">
      <c r="A14" s="9">
        <v>12</v>
      </c>
      <c r="B14" s="10" t="str">
        <f t="shared" si="0"/>
        <v>20240301</v>
      </c>
      <c r="C14" s="11" t="str">
        <f>"2410100320"</f>
        <v>2410100320</v>
      </c>
      <c r="D14" s="11" t="str">
        <f>"003"</f>
        <v>003</v>
      </c>
      <c r="E14" s="11" t="str">
        <f>"20"</f>
        <v>20</v>
      </c>
      <c r="F14" s="12" t="s">
        <v>16</v>
      </c>
      <c r="G14" s="12">
        <v>82</v>
      </c>
      <c r="H14" s="20">
        <v>68.3333333333333</v>
      </c>
      <c r="I14" s="12">
        <v>81.2</v>
      </c>
      <c r="J14" s="20">
        <v>67.6666666666667</v>
      </c>
      <c r="K14" s="12"/>
      <c r="L14" s="21">
        <v>68</v>
      </c>
      <c r="M14" s="22">
        <v>90.11</v>
      </c>
      <c r="N14" s="23">
        <v>76.84</v>
      </c>
      <c r="O14" s="13"/>
    </row>
    <row r="15" spans="1:15" s="1" customFormat="1" ht="24" customHeight="1">
      <c r="A15" s="9">
        <v>13</v>
      </c>
      <c r="B15" s="10" t="str">
        <f t="shared" si="0"/>
        <v>20240301</v>
      </c>
      <c r="C15" s="11" t="str">
        <f>"2410103618"</f>
        <v>2410103618</v>
      </c>
      <c r="D15" s="11" t="str">
        <f>"036"</f>
        <v>036</v>
      </c>
      <c r="E15" s="11" t="str">
        <f>"18"</f>
        <v>18</v>
      </c>
      <c r="F15" s="12" t="s">
        <v>16</v>
      </c>
      <c r="G15" s="12">
        <v>76.5</v>
      </c>
      <c r="H15" s="20">
        <v>63.75</v>
      </c>
      <c r="I15" s="12">
        <v>85.9</v>
      </c>
      <c r="J15" s="20">
        <v>71.5833333333333</v>
      </c>
      <c r="K15" s="12"/>
      <c r="L15" s="21">
        <v>67.6666666666667</v>
      </c>
      <c r="M15" s="22">
        <v>90.17</v>
      </c>
      <c r="N15" s="23">
        <v>76.67</v>
      </c>
      <c r="O15" s="13"/>
    </row>
    <row r="16" spans="1:15" s="1" customFormat="1" ht="24" customHeight="1">
      <c r="A16" s="9">
        <v>14</v>
      </c>
      <c r="B16" s="10" t="str">
        <f t="shared" si="0"/>
        <v>20240301</v>
      </c>
      <c r="C16" s="11" t="str">
        <f>"2410104322"</f>
        <v>2410104322</v>
      </c>
      <c r="D16" s="11" t="str">
        <f>"043"</f>
        <v>043</v>
      </c>
      <c r="E16" s="11" t="str">
        <f>"22"</f>
        <v>22</v>
      </c>
      <c r="F16" s="12" t="s">
        <v>16</v>
      </c>
      <c r="G16" s="12">
        <v>78.5</v>
      </c>
      <c r="H16" s="20">
        <v>65.4166666666667</v>
      </c>
      <c r="I16" s="12">
        <v>81.2</v>
      </c>
      <c r="J16" s="20">
        <v>67.6666666666667</v>
      </c>
      <c r="K16" s="12"/>
      <c r="L16" s="21">
        <v>66.5416666666667</v>
      </c>
      <c r="M16" s="22">
        <v>91.25</v>
      </c>
      <c r="N16" s="23">
        <v>76.430000000000007</v>
      </c>
      <c r="O16" s="13"/>
    </row>
    <row r="17" spans="1:15" s="1" customFormat="1" ht="24" customHeight="1">
      <c r="A17" s="9">
        <v>15</v>
      </c>
      <c r="B17" s="10" t="str">
        <f t="shared" si="0"/>
        <v>20240301</v>
      </c>
      <c r="C17" s="11" t="str">
        <f>"2410101328"</f>
        <v>2410101328</v>
      </c>
      <c r="D17" s="11" t="str">
        <f>"013"</f>
        <v>013</v>
      </c>
      <c r="E17" s="11" t="str">
        <f>"28"</f>
        <v>28</v>
      </c>
      <c r="F17" s="12" t="s">
        <v>16</v>
      </c>
      <c r="G17" s="12">
        <v>75</v>
      </c>
      <c r="H17" s="20">
        <v>62.5</v>
      </c>
      <c r="I17" s="12">
        <v>87.9</v>
      </c>
      <c r="J17" s="20">
        <v>73.25</v>
      </c>
      <c r="K17" s="12"/>
      <c r="L17" s="21">
        <v>67.875</v>
      </c>
      <c r="M17" s="22">
        <v>88.87</v>
      </c>
      <c r="N17" s="23">
        <v>76.27</v>
      </c>
      <c r="O17" s="13"/>
    </row>
    <row r="18" spans="1:15" s="1" customFormat="1" ht="24" customHeight="1">
      <c r="A18" s="9">
        <v>16</v>
      </c>
      <c r="B18" s="10" t="str">
        <f t="shared" si="0"/>
        <v>20240301</v>
      </c>
      <c r="C18" s="11" t="str">
        <f>"2410102207"</f>
        <v>2410102207</v>
      </c>
      <c r="D18" s="11" t="str">
        <f>"022"</f>
        <v>022</v>
      </c>
      <c r="E18" s="11" t="str">
        <f>"07"</f>
        <v>07</v>
      </c>
      <c r="F18" s="12" t="s">
        <v>16</v>
      </c>
      <c r="G18" s="12">
        <v>89.5</v>
      </c>
      <c r="H18" s="20">
        <v>74.5833333333333</v>
      </c>
      <c r="I18" s="12">
        <v>73.400000000000006</v>
      </c>
      <c r="J18" s="20">
        <v>61.1666666666667</v>
      </c>
      <c r="K18" s="12"/>
      <c r="L18" s="21">
        <v>67.875</v>
      </c>
      <c r="M18" s="22">
        <v>88.7</v>
      </c>
      <c r="N18" s="23">
        <v>76.209999999999994</v>
      </c>
      <c r="O18" s="13"/>
    </row>
    <row r="19" spans="1:15" s="1" customFormat="1" ht="24" customHeight="1">
      <c r="A19" s="9">
        <v>17</v>
      </c>
      <c r="B19" s="10" t="s">
        <v>17</v>
      </c>
      <c r="C19" s="11" t="s">
        <v>18</v>
      </c>
      <c r="D19" s="11" t="s">
        <v>19</v>
      </c>
      <c r="E19" s="11" t="s">
        <v>20</v>
      </c>
      <c r="F19" s="12" t="s">
        <v>16</v>
      </c>
      <c r="G19" s="12">
        <v>79.5</v>
      </c>
      <c r="H19" s="20">
        <v>66.25</v>
      </c>
      <c r="I19" s="12">
        <v>79.400000000000006</v>
      </c>
      <c r="J19" s="20">
        <v>66.1666666666667</v>
      </c>
      <c r="K19" s="12"/>
      <c r="L19" s="21">
        <v>66.2083333333333</v>
      </c>
      <c r="M19" s="22">
        <v>90.91</v>
      </c>
      <c r="N19" s="25">
        <v>76.09</v>
      </c>
      <c r="O19" s="13"/>
    </row>
    <row r="20" spans="1:15" s="1" customFormat="1" ht="24" customHeight="1">
      <c r="A20" s="9">
        <v>18</v>
      </c>
      <c r="B20" s="10" t="str">
        <f>"20240301"</f>
        <v>20240301</v>
      </c>
      <c r="C20" s="11" t="str">
        <f>"2410101820"</f>
        <v>2410101820</v>
      </c>
      <c r="D20" s="11" t="str">
        <f>"018"</f>
        <v>018</v>
      </c>
      <c r="E20" s="11" t="str">
        <f>"20"</f>
        <v>20</v>
      </c>
      <c r="F20" s="12" t="s">
        <v>16</v>
      </c>
      <c r="G20" s="12">
        <v>76</v>
      </c>
      <c r="H20" s="20">
        <v>63.3333333333333</v>
      </c>
      <c r="I20" s="12">
        <v>85.7</v>
      </c>
      <c r="J20" s="20">
        <v>71.4166666666667</v>
      </c>
      <c r="K20" s="12"/>
      <c r="L20" s="21">
        <v>67.375</v>
      </c>
      <c r="M20" s="22">
        <v>89.11</v>
      </c>
      <c r="N20" s="23">
        <v>76.069999999999993</v>
      </c>
      <c r="O20" s="13"/>
    </row>
    <row r="21" spans="1:15" s="1" customFormat="1" ht="24" customHeight="1">
      <c r="A21" s="9">
        <v>19</v>
      </c>
      <c r="B21" s="10" t="s">
        <v>17</v>
      </c>
      <c r="C21" s="11" t="s">
        <v>21</v>
      </c>
      <c r="D21" s="11" t="s">
        <v>22</v>
      </c>
      <c r="E21" s="11" t="s">
        <v>23</v>
      </c>
      <c r="F21" s="12" t="s">
        <v>16</v>
      </c>
      <c r="G21" s="12">
        <v>75.5</v>
      </c>
      <c r="H21" s="20">
        <v>62.9166666666667</v>
      </c>
      <c r="I21" s="12">
        <v>83.8</v>
      </c>
      <c r="J21" s="20">
        <v>69.8333333333333</v>
      </c>
      <c r="K21" s="12"/>
      <c r="L21" s="21">
        <v>66.375</v>
      </c>
      <c r="M21" s="22">
        <v>90.29</v>
      </c>
      <c r="N21" s="25">
        <v>75.94</v>
      </c>
      <c r="O21" s="13"/>
    </row>
    <row r="22" spans="1:15" s="1" customFormat="1" ht="24" customHeight="1">
      <c r="A22" s="9">
        <v>20</v>
      </c>
      <c r="B22" s="10" t="str">
        <f>"20240301"</f>
        <v>20240301</v>
      </c>
      <c r="C22" s="11" t="str">
        <f>"2410100209"</f>
        <v>2410100209</v>
      </c>
      <c r="D22" s="11" t="str">
        <f>"002"</f>
        <v>002</v>
      </c>
      <c r="E22" s="11" t="str">
        <f>"09"</f>
        <v>09</v>
      </c>
      <c r="F22" s="12" t="s">
        <v>16</v>
      </c>
      <c r="G22" s="12">
        <v>80</v>
      </c>
      <c r="H22" s="20">
        <v>66.6666666666667</v>
      </c>
      <c r="I22" s="12">
        <v>80.7</v>
      </c>
      <c r="J22" s="20">
        <v>67.25</v>
      </c>
      <c r="K22" s="12"/>
      <c r="L22" s="21">
        <v>66.9583333333333</v>
      </c>
      <c r="M22" s="22">
        <v>89.31</v>
      </c>
      <c r="N22" s="23">
        <v>75.900000000000006</v>
      </c>
      <c r="O22" s="13"/>
    </row>
    <row r="23" spans="1:15" s="1" customFormat="1" ht="24" customHeight="1">
      <c r="A23" s="9">
        <v>21</v>
      </c>
      <c r="B23" s="10" t="str">
        <f>"20240301"</f>
        <v>20240301</v>
      </c>
      <c r="C23" s="11" t="str">
        <f>"2410100630"</f>
        <v>2410100630</v>
      </c>
      <c r="D23" s="11" t="str">
        <f>"006"</f>
        <v>006</v>
      </c>
      <c r="E23" s="11" t="str">
        <f>"30"</f>
        <v>30</v>
      </c>
      <c r="F23" s="12" t="s">
        <v>16</v>
      </c>
      <c r="G23" s="12">
        <v>76</v>
      </c>
      <c r="H23" s="20">
        <v>63.3333333333333</v>
      </c>
      <c r="I23" s="12">
        <v>83.7</v>
      </c>
      <c r="J23" s="20">
        <v>69.75</v>
      </c>
      <c r="K23" s="12"/>
      <c r="L23" s="21">
        <v>66.5416666666667</v>
      </c>
      <c r="M23" s="22">
        <v>89.84</v>
      </c>
      <c r="N23" s="23">
        <v>75.86</v>
      </c>
      <c r="O23" s="13"/>
    </row>
    <row r="24" spans="1:15" s="1" customFormat="1" ht="24" customHeight="1">
      <c r="A24" s="9">
        <v>22</v>
      </c>
      <c r="B24" s="10" t="str">
        <f>"20240301"</f>
        <v>20240301</v>
      </c>
      <c r="C24" s="11" t="str">
        <f>"2410103313"</f>
        <v>2410103313</v>
      </c>
      <c r="D24" s="11" t="str">
        <f>"033"</f>
        <v>033</v>
      </c>
      <c r="E24" s="11" t="str">
        <f>"13"</f>
        <v>13</v>
      </c>
      <c r="F24" s="12" t="s">
        <v>16</v>
      </c>
      <c r="G24" s="12">
        <v>82</v>
      </c>
      <c r="H24" s="20">
        <v>68.3333333333333</v>
      </c>
      <c r="I24" s="12">
        <v>80.900000000000006</v>
      </c>
      <c r="J24" s="20">
        <v>67.4166666666667</v>
      </c>
      <c r="K24" s="12"/>
      <c r="L24" s="21">
        <v>67.875</v>
      </c>
      <c r="M24" s="22">
        <v>87.75</v>
      </c>
      <c r="N24" s="23">
        <v>75.83</v>
      </c>
      <c r="O24" s="13"/>
    </row>
    <row r="25" spans="1:15" s="1" customFormat="1" ht="24" customHeight="1">
      <c r="A25" s="9">
        <v>23</v>
      </c>
      <c r="B25" s="10" t="s">
        <v>17</v>
      </c>
      <c r="C25" s="11" t="s">
        <v>24</v>
      </c>
      <c r="D25" s="11" t="s">
        <v>25</v>
      </c>
      <c r="E25" s="11" t="s">
        <v>26</v>
      </c>
      <c r="F25" s="12" t="s">
        <v>16</v>
      </c>
      <c r="G25" s="12">
        <v>84.5</v>
      </c>
      <c r="H25" s="20">
        <v>70.4166666666667</v>
      </c>
      <c r="I25" s="12">
        <v>75</v>
      </c>
      <c r="J25" s="20">
        <v>62.5</v>
      </c>
      <c r="K25" s="12"/>
      <c r="L25" s="21">
        <v>66.4583333333333</v>
      </c>
      <c r="M25" s="22">
        <v>89.36</v>
      </c>
      <c r="N25" s="25">
        <v>75.62</v>
      </c>
      <c r="O25" s="13"/>
    </row>
    <row r="26" spans="1:15" s="1" customFormat="1" ht="24" customHeight="1">
      <c r="A26" s="9">
        <v>24</v>
      </c>
      <c r="B26" s="10" t="str">
        <f t="shared" ref="B26:B33" si="1">"20240301"</f>
        <v>20240301</v>
      </c>
      <c r="C26" s="11" t="str">
        <f>"2410102015"</f>
        <v>2410102015</v>
      </c>
      <c r="D26" s="11" t="str">
        <f>"020"</f>
        <v>020</v>
      </c>
      <c r="E26" s="11" t="str">
        <f>"15"</f>
        <v>15</v>
      </c>
      <c r="F26" s="12" t="s">
        <v>16</v>
      </c>
      <c r="G26" s="12">
        <v>83</v>
      </c>
      <c r="H26" s="20">
        <v>69.1666666666667</v>
      </c>
      <c r="I26" s="12">
        <v>80.099999999999994</v>
      </c>
      <c r="J26" s="20">
        <v>66.75</v>
      </c>
      <c r="K26" s="12"/>
      <c r="L26" s="21">
        <v>67.9583333333333</v>
      </c>
      <c r="M26" s="22">
        <v>86.56</v>
      </c>
      <c r="N26" s="23">
        <v>75.400000000000006</v>
      </c>
      <c r="O26" s="13"/>
    </row>
    <row r="27" spans="1:15" s="1" customFormat="1" ht="24" customHeight="1">
      <c r="A27" s="9">
        <v>25</v>
      </c>
      <c r="B27" s="10" t="str">
        <f t="shared" si="1"/>
        <v>20240301</v>
      </c>
      <c r="C27" s="11" t="str">
        <f>"2410101416"</f>
        <v>2410101416</v>
      </c>
      <c r="D27" s="11" t="str">
        <f>"014"</f>
        <v>014</v>
      </c>
      <c r="E27" s="11" t="str">
        <f>"16"</f>
        <v>16</v>
      </c>
      <c r="F27" s="12" t="s">
        <v>16</v>
      </c>
      <c r="G27" s="12">
        <v>75.5</v>
      </c>
      <c r="H27" s="20">
        <v>62.9166666666667</v>
      </c>
      <c r="I27" s="12">
        <v>84.4</v>
      </c>
      <c r="J27" s="20">
        <v>70.3333333333333</v>
      </c>
      <c r="K27" s="12"/>
      <c r="L27" s="21">
        <v>66.625</v>
      </c>
      <c r="M27" s="22">
        <v>88.07</v>
      </c>
      <c r="N27" s="23">
        <v>75.2</v>
      </c>
      <c r="O27" s="13"/>
    </row>
    <row r="28" spans="1:15" s="1" customFormat="1" ht="24" customHeight="1">
      <c r="A28" s="9">
        <v>26</v>
      </c>
      <c r="B28" s="10" t="str">
        <f t="shared" si="1"/>
        <v>20240301</v>
      </c>
      <c r="C28" s="11" t="str">
        <f>"2410101730"</f>
        <v>2410101730</v>
      </c>
      <c r="D28" s="11" t="str">
        <f>"017"</f>
        <v>017</v>
      </c>
      <c r="E28" s="11" t="str">
        <f>"30"</f>
        <v>30</v>
      </c>
      <c r="F28" s="12" t="s">
        <v>16</v>
      </c>
      <c r="G28" s="12">
        <v>81.5</v>
      </c>
      <c r="H28" s="20">
        <v>67.9166666666667</v>
      </c>
      <c r="I28" s="12">
        <v>78.7</v>
      </c>
      <c r="J28" s="20">
        <v>65.5833333333333</v>
      </c>
      <c r="K28" s="12"/>
      <c r="L28" s="21">
        <v>66.75</v>
      </c>
      <c r="M28" s="22">
        <v>86.29</v>
      </c>
      <c r="N28" s="23">
        <v>74.569999999999993</v>
      </c>
      <c r="O28" s="13"/>
    </row>
    <row r="29" spans="1:15" s="1" customFormat="1" ht="24" customHeight="1">
      <c r="A29" s="9">
        <v>27</v>
      </c>
      <c r="B29" s="10" t="str">
        <f t="shared" si="1"/>
        <v>20240301</v>
      </c>
      <c r="C29" s="11" t="str">
        <f>"2410100425"</f>
        <v>2410100425</v>
      </c>
      <c r="D29" s="11" t="str">
        <f>"004"</f>
        <v>004</v>
      </c>
      <c r="E29" s="11" t="str">
        <f>"25"</f>
        <v>25</v>
      </c>
      <c r="F29" s="12" t="s">
        <v>16</v>
      </c>
      <c r="G29" s="12">
        <v>80.5</v>
      </c>
      <c r="H29" s="20">
        <v>67.0833333333333</v>
      </c>
      <c r="I29" s="12">
        <v>91.8</v>
      </c>
      <c r="J29" s="20">
        <v>76.5</v>
      </c>
      <c r="K29" s="12"/>
      <c r="L29" s="21">
        <v>71.7916666666667</v>
      </c>
      <c r="M29" s="22" t="s">
        <v>27</v>
      </c>
      <c r="N29" s="23">
        <v>43.08</v>
      </c>
      <c r="O29" s="13"/>
    </row>
    <row r="30" spans="1:15" s="1" customFormat="1" ht="24" customHeight="1">
      <c r="A30" s="9">
        <v>28</v>
      </c>
      <c r="B30" s="10" t="str">
        <f t="shared" si="1"/>
        <v>20240301</v>
      </c>
      <c r="C30" s="11" t="str">
        <f>"2410101413"</f>
        <v>2410101413</v>
      </c>
      <c r="D30" s="11" t="str">
        <f>"014"</f>
        <v>014</v>
      </c>
      <c r="E30" s="11" t="str">
        <f>"13"</f>
        <v>13</v>
      </c>
      <c r="F30" s="12" t="s">
        <v>16</v>
      </c>
      <c r="G30" s="12">
        <v>87.5</v>
      </c>
      <c r="H30" s="20">
        <v>72.9166666666667</v>
      </c>
      <c r="I30" s="12">
        <v>77.7</v>
      </c>
      <c r="J30" s="20">
        <v>64.75</v>
      </c>
      <c r="K30" s="12"/>
      <c r="L30" s="21">
        <v>68.8333333333333</v>
      </c>
      <c r="M30" s="22" t="s">
        <v>27</v>
      </c>
      <c r="N30" s="23">
        <v>41.3</v>
      </c>
      <c r="O30" s="13"/>
    </row>
    <row r="31" spans="1:15" s="2" customFormat="1" ht="24" customHeight="1">
      <c r="A31" s="9">
        <v>29</v>
      </c>
      <c r="B31" s="11" t="str">
        <f t="shared" si="1"/>
        <v>20240301</v>
      </c>
      <c r="C31" s="11" t="str">
        <f>"2410100714"</f>
        <v>2410100714</v>
      </c>
      <c r="D31" s="11" t="str">
        <f>"007"</f>
        <v>007</v>
      </c>
      <c r="E31" s="11" t="str">
        <f>"14"</f>
        <v>14</v>
      </c>
      <c r="F31" s="12" t="s">
        <v>16</v>
      </c>
      <c r="G31" s="12">
        <v>77.5</v>
      </c>
      <c r="H31" s="20">
        <v>64.5833333333333</v>
      </c>
      <c r="I31" s="12">
        <v>85.9</v>
      </c>
      <c r="J31" s="20">
        <v>71.5833333333333</v>
      </c>
      <c r="K31" s="12"/>
      <c r="L31" s="21">
        <v>68.0833333333333</v>
      </c>
      <c r="M31" s="22" t="s">
        <v>27</v>
      </c>
      <c r="N31" s="23">
        <v>40.85</v>
      </c>
      <c r="O31" s="32"/>
    </row>
    <row r="32" spans="1:15" s="2" customFormat="1" ht="24" customHeight="1">
      <c r="A32" s="9">
        <v>30</v>
      </c>
      <c r="B32" s="11" t="str">
        <f t="shared" si="1"/>
        <v>20240301</v>
      </c>
      <c r="C32" s="11" t="str">
        <f>"2410104319"</f>
        <v>2410104319</v>
      </c>
      <c r="D32" s="11" t="str">
        <f>"043"</f>
        <v>043</v>
      </c>
      <c r="E32" s="11" t="str">
        <f>"19"</f>
        <v>19</v>
      </c>
      <c r="F32" s="12" t="s">
        <v>16</v>
      </c>
      <c r="G32" s="12">
        <v>85.5</v>
      </c>
      <c r="H32" s="20">
        <v>71.25</v>
      </c>
      <c r="I32" s="12">
        <v>77.400000000000006</v>
      </c>
      <c r="J32" s="20">
        <v>64.5</v>
      </c>
      <c r="K32" s="12"/>
      <c r="L32" s="21">
        <v>67.875</v>
      </c>
      <c r="M32" s="22" t="s">
        <v>27</v>
      </c>
      <c r="N32" s="23">
        <v>40.729999999999997</v>
      </c>
      <c r="O32" s="32"/>
    </row>
    <row r="33" spans="1:15" s="2" customFormat="1" ht="24" customHeight="1">
      <c r="A33" s="9">
        <v>31</v>
      </c>
      <c r="B33" s="11" t="str">
        <f t="shared" si="1"/>
        <v>20240301</v>
      </c>
      <c r="C33" s="11" t="str">
        <f>"2410104112"</f>
        <v>2410104112</v>
      </c>
      <c r="D33" s="11" t="str">
        <f>"041"</f>
        <v>041</v>
      </c>
      <c r="E33" s="11" t="str">
        <f>"12"</f>
        <v>12</v>
      </c>
      <c r="F33" s="12" t="s">
        <v>16</v>
      </c>
      <c r="G33" s="12">
        <v>82.5</v>
      </c>
      <c r="H33" s="20">
        <v>68.75</v>
      </c>
      <c r="I33" s="12">
        <v>80.3</v>
      </c>
      <c r="J33" s="20">
        <v>66.9166666666667</v>
      </c>
      <c r="K33" s="12"/>
      <c r="L33" s="21">
        <v>67.8333333333333</v>
      </c>
      <c r="M33" s="22" t="s">
        <v>27</v>
      </c>
      <c r="N33" s="23">
        <v>40.700000000000003</v>
      </c>
      <c r="O33" s="32"/>
    </row>
    <row r="34" spans="1:15" ht="24" customHeight="1">
      <c r="A34" s="13">
        <v>1</v>
      </c>
      <c r="B34" s="14" t="str">
        <f t="shared" ref="B34:B58" si="2">"20240302"</f>
        <v>20240302</v>
      </c>
      <c r="C34" s="15" t="str">
        <f>"2410106917"</f>
        <v>2410106917</v>
      </c>
      <c r="D34" s="15" t="str">
        <f>"069"</f>
        <v>069</v>
      </c>
      <c r="E34" s="15" t="str">
        <f>"17"</f>
        <v>17</v>
      </c>
      <c r="F34" s="16" t="s">
        <v>28</v>
      </c>
      <c r="G34" s="16">
        <v>84</v>
      </c>
      <c r="H34" s="26">
        <v>70</v>
      </c>
      <c r="I34" s="16">
        <v>98.1</v>
      </c>
      <c r="J34" s="26">
        <v>81.75</v>
      </c>
      <c r="K34" s="16"/>
      <c r="L34" s="27">
        <v>75.875</v>
      </c>
      <c r="M34" s="28">
        <v>86.44</v>
      </c>
      <c r="N34" s="29">
        <v>80.099999999999994</v>
      </c>
      <c r="O34" s="32"/>
    </row>
    <row r="35" spans="1:15" ht="24" customHeight="1">
      <c r="A35" s="13">
        <v>2</v>
      </c>
      <c r="B35" s="14" t="str">
        <f t="shared" si="2"/>
        <v>20240302</v>
      </c>
      <c r="C35" s="15" t="str">
        <f>"2410106418"</f>
        <v>2410106418</v>
      </c>
      <c r="D35" s="15" t="str">
        <f>"064"</f>
        <v>064</v>
      </c>
      <c r="E35" s="15" t="str">
        <f>"18"</f>
        <v>18</v>
      </c>
      <c r="F35" s="16" t="s">
        <v>28</v>
      </c>
      <c r="G35" s="16">
        <v>85</v>
      </c>
      <c r="H35" s="26">
        <v>70.8333333333333</v>
      </c>
      <c r="I35" s="16">
        <v>92.5</v>
      </c>
      <c r="J35" s="26">
        <v>77.0833333333333</v>
      </c>
      <c r="K35" s="16"/>
      <c r="L35" s="27">
        <v>73.9583333333333</v>
      </c>
      <c r="M35" s="28">
        <v>88.44</v>
      </c>
      <c r="N35" s="29">
        <v>79.75</v>
      </c>
      <c r="O35" s="32"/>
    </row>
    <row r="36" spans="1:15" ht="24" customHeight="1">
      <c r="A36" s="13">
        <v>3</v>
      </c>
      <c r="B36" s="14" t="str">
        <f t="shared" si="2"/>
        <v>20240302</v>
      </c>
      <c r="C36" s="15" t="str">
        <f>"2410106303"</f>
        <v>2410106303</v>
      </c>
      <c r="D36" s="15" t="str">
        <f>"063"</f>
        <v>063</v>
      </c>
      <c r="E36" s="15" t="str">
        <f>"03"</f>
        <v>03</v>
      </c>
      <c r="F36" s="16" t="s">
        <v>28</v>
      </c>
      <c r="G36" s="16">
        <v>92</v>
      </c>
      <c r="H36" s="26">
        <v>76.6666666666667</v>
      </c>
      <c r="I36" s="16">
        <v>82.4</v>
      </c>
      <c r="J36" s="26">
        <v>68.6666666666667</v>
      </c>
      <c r="K36" s="16"/>
      <c r="L36" s="27">
        <v>72.6666666666667</v>
      </c>
      <c r="M36" s="28">
        <v>87.92</v>
      </c>
      <c r="N36" s="29">
        <v>78.77</v>
      </c>
      <c r="O36" s="32"/>
    </row>
    <row r="37" spans="1:15" ht="24" customHeight="1">
      <c r="A37" s="13">
        <v>4</v>
      </c>
      <c r="B37" s="14" t="str">
        <f t="shared" si="2"/>
        <v>20240302</v>
      </c>
      <c r="C37" s="15" t="str">
        <f>"2410105502"</f>
        <v>2410105502</v>
      </c>
      <c r="D37" s="15" t="str">
        <f>"055"</f>
        <v>055</v>
      </c>
      <c r="E37" s="15" t="str">
        <f>"02"</f>
        <v>02</v>
      </c>
      <c r="F37" s="16" t="s">
        <v>28</v>
      </c>
      <c r="G37" s="16">
        <v>83</v>
      </c>
      <c r="H37" s="26">
        <v>69.1666666666667</v>
      </c>
      <c r="I37" s="16">
        <v>88.1</v>
      </c>
      <c r="J37" s="26">
        <v>73.4166666666667</v>
      </c>
      <c r="K37" s="16"/>
      <c r="L37" s="27">
        <v>71.2916666666667</v>
      </c>
      <c r="M37" s="28">
        <v>87.54</v>
      </c>
      <c r="N37" s="29">
        <v>77.790000000000006</v>
      </c>
      <c r="O37" s="32"/>
    </row>
    <row r="38" spans="1:15" ht="24" customHeight="1">
      <c r="A38" s="13">
        <v>5</v>
      </c>
      <c r="B38" s="14" t="str">
        <f t="shared" si="2"/>
        <v>20240302</v>
      </c>
      <c r="C38" s="15" t="str">
        <f>"2410106426"</f>
        <v>2410106426</v>
      </c>
      <c r="D38" s="15" t="str">
        <f>"064"</f>
        <v>064</v>
      </c>
      <c r="E38" s="15" t="str">
        <f>"26"</f>
        <v>26</v>
      </c>
      <c r="F38" s="16" t="s">
        <v>28</v>
      </c>
      <c r="G38" s="16">
        <v>83</v>
      </c>
      <c r="H38" s="26">
        <v>69.1666666666667</v>
      </c>
      <c r="I38" s="16">
        <v>87.8</v>
      </c>
      <c r="J38" s="26">
        <v>73.1666666666667</v>
      </c>
      <c r="K38" s="16"/>
      <c r="L38" s="27">
        <v>71.1666666666667</v>
      </c>
      <c r="M38" s="28">
        <v>87.68</v>
      </c>
      <c r="N38" s="29">
        <v>77.77</v>
      </c>
      <c r="O38" s="32"/>
    </row>
    <row r="39" spans="1:15" ht="24" customHeight="1">
      <c r="A39" s="13">
        <v>6</v>
      </c>
      <c r="B39" s="14" t="str">
        <f t="shared" si="2"/>
        <v>20240302</v>
      </c>
      <c r="C39" s="15" t="str">
        <f>"2410106116"</f>
        <v>2410106116</v>
      </c>
      <c r="D39" s="15" t="str">
        <f>"061"</f>
        <v>061</v>
      </c>
      <c r="E39" s="15" t="str">
        <f>"16"</f>
        <v>16</v>
      </c>
      <c r="F39" s="16" t="s">
        <v>28</v>
      </c>
      <c r="G39" s="16">
        <v>85</v>
      </c>
      <c r="H39" s="26">
        <v>70.8333333333333</v>
      </c>
      <c r="I39" s="16">
        <v>85.7</v>
      </c>
      <c r="J39" s="26">
        <v>71.4166666666667</v>
      </c>
      <c r="K39" s="16"/>
      <c r="L39" s="27">
        <v>71.125</v>
      </c>
      <c r="M39" s="28">
        <v>87.48</v>
      </c>
      <c r="N39" s="29">
        <v>77.67</v>
      </c>
      <c r="O39" s="32"/>
    </row>
    <row r="40" spans="1:15" ht="24" customHeight="1">
      <c r="A40" s="13">
        <v>7</v>
      </c>
      <c r="B40" s="14" t="str">
        <f t="shared" si="2"/>
        <v>20240302</v>
      </c>
      <c r="C40" s="15" t="str">
        <f>"2410107124"</f>
        <v>2410107124</v>
      </c>
      <c r="D40" s="15" t="str">
        <f>"071"</f>
        <v>071</v>
      </c>
      <c r="E40" s="15" t="str">
        <f>"24"</f>
        <v>24</v>
      </c>
      <c r="F40" s="16" t="s">
        <v>28</v>
      </c>
      <c r="G40" s="16">
        <v>88.5</v>
      </c>
      <c r="H40" s="26">
        <v>73.75</v>
      </c>
      <c r="I40" s="16">
        <v>83.9</v>
      </c>
      <c r="J40" s="26">
        <v>69.9166666666667</v>
      </c>
      <c r="K40" s="16"/>
      <c r="L40" s="27">
        <v>71.8333333333333</v>
      </c>
      <c r="M40" s="28">
        <v>85.7</v>
      </c>
      <c r="N40" s="29">
        <v>77.38</v>
      </c>
      <c r="O40" s="32"/>
    </row>
    <row r="41" spans="1:15" ht="24" customHeight="1">
      <c r="A41" s="13">
        <v>8</v>
      </c>
      <c r="B41" s="14" t="str">
        <f t="shared" si="2"/>
        <v>20240302</v>
      </c>
      <c r="C41" s="15" t="str">
        <f>"2410105712"</f>
        <v>2410105712</v>
      </c>
      <c r="D41" s="15" t="str">
        <f>"057"</f>
        <v>057</v>
      </c>
      <c r="E41" s="15" t="str">
        <f>"12"</f>
        <v>12</v>
      </c>
      <c r="F41" s="16" t="s">
        <v>28</v>
      </c>
      <c r="G41" s="16">
        <v>85.5</v>
      </c>
      <c r="H41" s="26">
        <v>71.25</v>
      </c>
      <c r="I41" s="16">
        <v>83.7</v>
      </c>
      <c r="J41" s="26">
        <v>69.75</v>
      </c>
      <c r="K41" s="16"/>
      <c r="L41" s="27">
        <v>70.5</v>
      </c>
      <c r="M41" s="28">
        <v>87.14</v>
      </c>
      <c r="N41" s="29">
        <v>77.16</v>
      </c>
      <c r="O41" s="32"/>
    </row>
    <row r="42" spans="1:15" ht="24" customHeight="1">
      <c r="A42" s="13">
        <v>9</v>
      </c>
      <c r="B42" s="14" t="str">
        <f t="shared" si="2"/>
        <v>20240302</v>
      </c>
      <c r="C42" s="15" t="str">
        <f>"2410105607"</f>
        <v>2410105607</v>
      </c>
      <c r="D42" s="15" t="str">
        <f>"056"</f>
        <v>056</v>
      </c>
      <c r="E42" s="15" t="str">
        <f>"07"</f>
        <v>07</v>
      </c>
      <c r="F42" s="16" t="s">
        <v>28</v>
      </c>
      <c r="G42" s="16">
        <v>79</v>
      </c>
      <c r="H42" s="26">
        <v>65.8333333333333</v>
      </c>
      <c r="I42" s="16">
        <v>89.2</v>
      </c>
      <c r="J42" s="26">
        <v>74.3333333333333</v>
      </c>
      <c r="K42" s="16"/>
      <c r="L42" s="27">
        <v>70.0833333333333</v>
      </c>
      <c r="M42" s="28">
        <v>87.74</v>
      </c>
      <c r="N42" s="29">
        <v>77.150000000000006</v>
      </c>
      <c r="O42" s="32"/>
    </row>
    <row r="43" spans="1:15" ht="24" customHeight="1">
      <c r="A43" s="13">
        <v>10</v>
      </c>
      <c r="B43" s="14" t="str">
        <f t="shared" si="2"/>
        <v>20240302</v>
      </c>
      <c r="C43" s="15" t="str">
        <f>"2410107011"</f>
        <v>2410107011</v>
      </c>
      <c r="D43" s="15" t="str">
        <f>"070"</f>
        <v>070</v>
      </c>
      <c r="E43" s="15" t="str">
        <f>"11"</f>
        <v>11</v>
      </c>
      <c r="F43" s="16" t="s">
        <v>28</v>
      </c>
      <c r="G43" s="16">
        <v>85</v>
      </c>
      <c r="H43" s="26">
        <v>70.8333333333333</v>
      </c>
      <c r="I43" s="16">
        <v>84.5</v>
      </c>
      <c r="J43" s="26">
        <v>70.4166666666667</v>
      </c>
      <c r="K43" s="16"/>
      <c r="L43" s="27">
        <v>70.625</v>
      </c>
      <c r="M43" s="28">
        <v>86.78</v>
      </c>
      <c r="N43" s="29">
        <v>77.09</v>
      </c>
      <c r="O43" s="32"/>
    </row>
    <row r="44" spans="1:15" ht="24" customHeight="1">
      <c r="A44" s="13">
        <v>11</v>
      </c>
      <c r="B44" s="14" t="str">
        <f t="shared" si="2"/>
        <v>20240302</v>
      </c>
      <c r="C44" s="15" t="str">
        <f>"2410107418"</f>
        <v>2410107418</v>
      </c>
      <c r="D44" s="15" t="str">
        <f>"074"</f>
        <v>074</v>
      </c>
      <c r="E44" s="15" t="str">
        <f>"18"</f>
        <v>18</v>
      </c>
      <c r="F44" s="16" t="s">
        <v>28</v>
      </c>
      <c r="G44" s="16">
        <v>89.5</v>
      </c>
      <c r="H44" s="26">
        <v>74.5833333333333</v>
      </c>
      <c r="I44" s="16">
        <v>79.7</v>
      </c>
      <c r="J44" s="26">
        <v>66.4166666666667</v>
      </c>
      <c r="K44" s="16"/>
      <c r="L44" s="27">
        <v>70.5</v>
      </c>
      <c r="M44" s="28">
        <v>86.94</v>
      </c>
      <c r="N44" s="29">
        <v>77.08</v>
      </c>
      <c r="O44" s="32"/>
    </row>
    <row r="45" spans="1:15" ht="24" customHeight="1">
      <c r="A45" s="13">
        <v>12</v>
      </c>
      <c r="B45" s="14" t="str">
        <f t="shared" si="2"/>
        <v>20240302</v>
      </c>
      <c r="C45" s="15" t="str">
        <f>"2410105821"</f>
        <v>2410105821</v>
      </c>
      <c r="D45" s="15" t="str">
        <f>"058"</f>
        <v>058</v>
      </c>
      <c r="E45" s="15" t="str">
        <f>"21"</f>
        <v>21</v>
      </c>
      <c r="F45" s="16" t="s">
        <v>28</v>
      </c>
      <c r="G45" s="16">
        <v>79.5</v>
      </c>
      <c r="H45" s="26">
        <v>66.25</v>
      </c>
      <c r="I45" s="16">
        <v>89.2</v>
      </c>
      <c r="J45" s="26">
        <v>74.3333333333333</v>
      </c>
      <c r="K45" s="16"/>
      <c r="L45" s="27">
        <v>70.2916666666667</v>
      </c>
      <c r="M45" s="28">
        <v>87.04</v>
      </c>
      <c r="N45" s="29">
        <v>76.989999999999995</v>
      </c>
      <c r="O45" s="32"/>
    </row>
    <row r="46" spans="1:15" ht="24" customHeight="1">
      <c r="A46" s="13">
        <v>13</v>
      </c>
      <c r="B46" s="14" t="str">
        <f t="shared" si="2"/>
        <v>20240302</v>
      </c>
      <c r="C46" s="15" t="str">
        <f>"2410106008"</f>
        <v>2410106008</v>
      </c>
      <c r="D46" s="15" t="str">
        <f>"060"</f>
        <v>060</v>
      </c>
      <c r="E46" s="15" t="str">
        <f>"08"</f>
        <v>08</v>
      </c>
      <c r="F46" s="16" t="s">
        <v>28</v>
      </c>
      <c r="G46" s="16">
        <v>83</v>
      </c>
      <c r="H46" s="26">
        <v>69.1666666666667</v>
      </c>
      <c r="I46" s="16">
        <v>86.3</v>
      </c>
      <c r="J46" s="26">
        <v>71.9166666666667</v>
      </c>
      <c r="K46" s="16"/>
      <c r="L46" s="27">
        <v>70.5416666666667</v>
      </c>
      <c r="M46" s="28">
        <v>86.32</v>
      </c>
      <c r="N46" s="29">
        <v>76.849999999999994</v>
      </c>
      <c r="O46" s="32"/>
    </row>
    <row r="47" spans="1:15" ht="24" customHeight="1">
      <c r="A47" s="13">
        <v>14</v>
      </c>
      <c r="B47" s="14" t="str">
        <f t="shared" si="2"/>
        <v>20240302</v>
      </c>
      <c r="C47" s="15" t="str">
        <f>"2410105904"</f>
        <v>2410105904</v>
      </c>
      <c r="D47" s="15" t="str">
        <f>"059"</f>
        <v>059</v>
      </c>
      <c r="E47" s="15" t="str">
        <f>"04"</f>
        <v>04</v>
      </c>
      <c r="F47" s="16" t="s">
        <v>28</v>
      </c>
      <c r="G47" s="16">
        <v>80</v>
      </c>
      <c r="H47" s="26">
        <v>66.6666666666667</v>
      </c>
      <c r="I47" s="16">
        <v>88.4</v>
      </c>
      <c r="J47" s="26">
        <v>73.6666666666667</v>
      </c>
      <c r="K47" s="16"/>
      <c r="L47" s="27">
        <v>70.1666666666667</v>
      </c>
      <c r="M47" s="28">
        <v>86.58</v>
      </c>
      <c r="N47" s="29">
        <v>76.73</v>
      </c>
      <c r="O47" s="32"/>
    </row>
    <row r="48" spans="1:15" ht="24" customHeight="1">
      <c r="A48" s="13">
        <v>15</v>
      </c>
      <c r="B48" s="14" t="str">
        <f t="shared" si="2"/>
        <v>20240302</v>
      </c>
      <c r="C48" s="15" t="str">
        <f>"2410105326"</f>
        <v>2410105326</v>
      </c>
      <c r="D48" s="15" t="str">
        <f>"053"</f>
        <v>053</v>
      </c>
      <c r="E48" s="15" t="str">
        <f>"26"</f>
        <v>26</v>
      </c>
      <c r="F48" s="16" t="s">
        <v>28</v>
      </c>
      <c r="G48" s="16">
        <v>73</v>
      </c>
      <c r="H48" s="26">
        <v>60.8333333333333</v>
      </c>
      <c r="I48" s="16">
        <v>94.6</v>
      </c>
      <c r="J48" s="26">
        <v>78.8333333333333</v>
      </c>
      <c r="K48" s="16"/>
      <c r="L48" s="27">
        <v>69.8333333333333</v>
      </c>
      <c r="M48" s="28">
        <v>86.82</v>
      </c>
      <c r="N48" s="29">
        <v>76.63</v>
      </c>
      <c r="O48" s="32"/>
    </row>
    <row r="49" spans="1:15" ht="24" customHeight="1">
      <c r="A49" s="13">
        <v>16</v>
      </c>
      <c r="B49" s="14" t="str">
        <f t="shared" si="2"/>
        <v>20240302</v>
      </c>
      <c r="C49" s="15" t="str">
        <f>"2410107914"</f>
        <v>2410107914</v>
      </c>
      <c r="D49" s="15" t="str">
        <f>"079"</f>
        <v>079</v>
      </c>
      <c r="E49" s="15" t="str">
        <f>"14"</f>
        <v>14</v>
      </c>
      <c r="F49" s="16" t="s">
        <v>28</v>
      </c>
      <c r="G49" s="16">
        <v>75</v>
      </c>
      <c r="H49" s="26">
        <v>62.5</v>
      </c>
      <c r="I49" s="16">
        <v>91.2</v>
      </c>
      <c r="J49" s="26">
        <v>76</v>
      </c>
      <c r="K49" s="16"/>
      <c r="L49" s="27">
        <v>69.25</v>
      </c>
      <c r="M49" s="28">
        <v>87.64</v>
      </c>
      <c r="N49" s="29">
        <v>76.61</v>
      </c>
      <c r="O49" s="32"/>
    </row>
    <row r="50" spans="1:15" ht="24" customHeight="1">
      <c r="A50" s="13">
        <v>17</v>
      </c>
      <c r="B50" s="14" t="str">
        <f t="shared" si="2"/>
        <v>20240302</v>
      </c>
      <c r="C50" s="15" t="str">
        <f>"2410105606"</f>
        <v>2410105606</v>
      </c>
      <c r="D50" s="15" t="str">
        <f>"056"</f>
        <v>056</v>
      </c>
      <c r="E50" s="15" t="str">
        <f>"06"</f>
        <v>06</v>
      </c>
      <c r="F50" s="16" t="s">
        <v>28</v>
      </c>
      <c r="G50" s="16">
        <v>80</v>
      </c>
      <c r="H50" s="26">
        <v>66.6666666666667</v>
      </c>
      <c r="I50" s="16">
        <v>86.7</v>
      </c>
      <c r="J50" s="26">
        <v>72.25</v>
      </c>
      <c r="K50" s="16"/>
      <c r="L50" s="27">
        <v>69.4583333333333</v>
      </c>
      <c r="M50" s="28">
        <v>87.08</v>
      </c>
      <c r="N50" s="29">
        <v>76.510000000000005</v>
      </c>
      <c r="O50" s="32"/>
    </row>
    <row r="51" spans="1:15" ht="24" customHeight="1">
      <c r="A51" s="13">
        <v>18</v>
      </c>
      <c r="B51" s="14" t="str">
        <f t="shared" si="2"/>
        <v>20240302</v>
      </c>
      <c r="C51" s="15" t="str">
        <f>"2410107216"</f>
        <v>2410107216</v>
      </c>
      <c r="D51" s="15" t="str">
        <f>"072"</f>
        <v>072</v>
      </c>
      <c r="E51" s="15" t="str">
        <f>"16"</f>
        <v>16</v>
      </c>
      <c r="F51" s="16" t="s">
        <v>28</v>
      </c>
      <c r="G51" s="16">
        <v>79</v>
      </c>
      <c r="H51" s="26">
        <v>65.8333333333333</v>
      </c>
      <c r="I51" s="16">
        <v>87.7</v>
      </c>
      <c r="J51" s="26">
        <v>73.0833333333333</v>
      </c>
      <c r="K51" s="16"/>
      <c r="L51" s="27">
        <v>69.4583333333333</v>
      </c>
      <c r="M51" s="28">
        <v>86.54</v>
      </c>
      <c r="N51" s="29">
        <v>76.290000000000006</v>
      </c>
      <c r="O51" s="32"/>
    </row>
    <row r="52" spans="1:15" ht="24" customHeight="1">
      <c r="A52" s="13">
        <v>19</v>
      </c>
      <c r="B52" s="14" t="str">
        <f t="shared" si="2"/>
        <v>20240302</v>
      </c>
      <c r="C52" s="15" t="str">
        <f>"2410107311"</f>
        <v>2410107311</v>
      </c>
      <c r="D52" s="15" t="str">
        <f>"073"</f>
        <v>073</v>
      </c>
      <c r="E52" s="15" t="str">
        <f>"11"</f>
        <v>11</v>
      </c>
      <c r="F52" s="16" t="s">
        <v>28</v>
      </c>
      <c r="G52" s="16">
        <v>81</v>
      </c>
      <c r="H52" s="26">
        <v>67.5</v>
      </c>
      <c r="I52" s="16">
        <v>83.8</v>
      </c>
      <c r="J52" s="26">
        <v>69.8333333333333</v>
      </c>
      <c r="K52" s="16"/>
      <c r="L52" s="27">
        <v>68.6666666666667</v>
      </c>
      <c r="M52" s="28">
        <v>87.1</v>
      </c>
      <c r="N52" s="29">
        <v>76.040000000000006</v>
      </c>
      <c r="O52" s="32"/>
    </row>
    <row r="53" spans="1:15" ht="24" customHeight="1">
      <c r="A53" s="13">
        <v>20</v>
      </c>
      <c r="B53" s="14" t="str">
        <f t="shared" si="2"/>
        <v>20240302</v>
      </c>
      <c r="C53" s="15" t="str">
        <f>"2410106004"</f>
        <v>2410106004</v>
      </c>
      <c r="D53" s="15" t="str">
        <f>"060"</f>
        <v>060</v>
      </c>
      <c r="E53" s="15" t="str">
        <f>"04"</f>
        <v>04</v>
      </c>
      <c r="F53" s="16" t="s">
        <v>28</v>
      </c>
      <c r="G53" s="16">
        <v>76.5</v>
      </c>
      <c r="H53" s="26">
        <v>63.75</v>
      </c>
      <c r="I53" s="16">
        <v>87.5</v>
      </c>
      <c r="J53" s="26">
        <v>72.9166666666667</v>
      </c>
      <c r="K53" s="16"/>
      <c r="L53" s="27">
        <v>68.3333333333333</v>
      </c>
      <c r="M53" s="28">
        <v>87.4</v>
      </c>
      <c r="N53" s="29">
        <v>75.959999999999994</v>
      </c>
      <c r="O53" s="32"/>
    </row>
    <row r="54" spans="1:15" ht="24" customHeight="1">
      <c r="A54" s="13">
        <v>21</v>
      </c>
      <c r="B54" s="14" t="str">
        <f t="shared" si="2"/>
        <v>20240302</v>
      </c>
      <c r="C54" s="15" t="str">
        <f>"2410106804"</f>
        <v>2410106804</v>
      </c>
      <c r="D54" s="15" t="str">
        <f>"068"</f>
        <v>068</v>
      </c>
      <c r="E54" s="15" t="str">
        <f>"04"</f>
        <v>04</v>
      </c>
      <c r="F54" s="16" t="s">
        <v>28</v>
      </c>
      <c r="G54" s="16">
        <v>83</v>
      </c>
      <c r="H54" s="26">
        <v>69.1666666666667</v>
      </c>
      <c r="I54" s="16">
        <v>83.4</v>
      </c>
      <c r="J54" s="26">
        <v>69.5</v>
      </c>
      <c r="K54" s="16"/>
      <c r="L54" s="27">
        <v>69.3333333333333</v>
      </c>
      <c r="M54" s="28">
        <v>85.84</v>
      </c>
      <c r="N54" s="29">
        <v>75.94</v>
      </c>
      <c r="O54" s="32"/>
    </row>
    <row r="55" spans="1:15" ht="24" customHeight="1">
      <c r="A55" s="13">
        <v>22</v>
      </c>
      <c r="B55" s="14" t="str">
        <f t="shared" si="2"/>
        <v>20240302</v>
      </c>
      <c r="C55" s="15" t="str">
        <f>"2410107328"</f>
        <v>2410107328</v>
      </c>
      <c r="D55" s="15" t="str">
        <f>"073"</f>
        <v>073</v>
      </c>
      <c r="E55" s="15" t="str">
        <f>"28"</f>
        <v>28</v>
      </c>
      <c r="F55" s="16" t="s">
        <v>28</v>
      </c>
      <c r="G55" s="16">
        <v>78.5</v>
      </c>
      <c r="H55" s="26">
        <v>65.4166666666667</v>
      </c>
      <c r="I55" s="16">
        <v>85.5</v>
      </c>
      <c r="J55" s="26">
        <v>71.25</v>
      </c>
      <c r="K55" s="16"/>
      <c r="L55" s="27">
        <v>68.3333333333333</v>
      </c>
      <c r="M55" s="28">
        <v>86.9</v>
      </c>
      <c r="N55" s="29">
        <v>75.760000000000005</v>
      </c>
      <c r="O55" s="32"/>
    </row>
    <row r="56" spans="1:15" ht="24" customHeight="1">
      <c r="A56" s="13">
        <v>23</v>
      </c>
      <c r="B56" s="14" t="str">
        <f t="shared" si="2"/>
        <v>20240302</v>
      </c>
      <c r="C56" s="15" t="str">
        <f>"2410108119"</f>
        <v>2410108119</v>
      </c>
      <c r="D56" s="15" t="str">
        <f>"081"</f>
        <v>081</v>
      </c>
      <c r="E56" s="15" t="str">
        <f>"19"</f>
        <v>19</v>
      </c>
      <c r="F56" s="16" t="s">
        <v>28</v>
      </c>
      <c r="G56" s="16">
        <v>84</v>
      </c>
      <c r="H56" s="26">
        <v>70</v>
      </c>
      <c r="I56" s="16">
        <v>80.400000000000006</v>
      </c>
      <c r="J56" s="26">
        <v>67</v>
      </c>
      <c r="K56" s="16"/>
      <c r="L56" s="27">
        <v>68.5</v>
      </c>
      <c r="M56" s="28">
        <v>86.22</v>
      </c>
      <c r="N56" s="29">
        <v>75.59</v>
      </c>
      <c r="O56" s="32"/>
    </row>
    <row r="57" spans="1:15" ht="24" customHeight="1">
      <c r="A57" s="13">
        <v>24</v>
      </c>
      <c r="B57" s="14" t="str">
        <f t="shared" si="2"/>
        <v>20240302</v>
      </c>
      <c r="C57" s="15" t="str">
        <f>"2410105609"</f>
        <v>2410105609</v>
      </c>
      <c r="D57" s="15" t="str">
        <f>"056"</f>
        <v>056</v>
      </c>
      <c r="E57" s="15" t="str">
        <f>"09"</f>
        <v>09</v>
      </c>
      <c r="F57" s="16" t="s">
        <v>28</v>
      </c>
      <c r="G57" s="16">
        <v>69.5</v>
      </c>
      <c r="H57" s="26">
        <v>57.9166666666667</v>
      </c>
      <c r="I57" s="16">
        <v>93.3</v>
      </c>
      <c r="J57" s="26">
        <v>77.75</v>
      </c>
      <c r="K57" s="16"/>
      <c r="L57" s="27">
        <v>67.8333333333333</v>
      </c>
      <c r="M57" s="28">
        <v>87.16</v>
      </c>
      <c r="N57" s="29">
        <v>75.56</v>
      </c>
      <c r="O57" s="32"/>
    </row>
    <row r="58" spans="1:15" ht="24" customHeight="1">
      <c r="A58" s="13">
        <v>25</v>
      </c>
      <c r="B58" s="14" t="str">
        <f t="shared" si="2"/>
        <v>20240302</v>
      </c>
      <c r="C58" s="15" t="str">
        <f>"2410108316"</f>
        <v>2410108316</v>
      </c>
      <c r="D58" s="15" t="str">
        <f>"083"</f>
        <v>083</v>
      </c>
      <c r="E58" s="15" t="str">
        <f>"16"</f>
        <v>16</v>
      </c>
      <c r="F58" s="16" t="s">
        <v>28</v>
      </c>
      <c r="G58" s="16">
        <v>84.5</v>
      </c>
      <c r="H58" s="26">
        <v>70.4166666666667</v>
      </c>
      <c r="I58" s="16">
        <v>78</v>
      </c>
      <c r="J58" s="26">
        <v>65</v>
      </c>
      <c r="K58" s="16"/>
      <c r="L58" s="27">
        <v>67.7083333333333</v>
      </c>
      <c r="M58" s="28">
        <v>87.24</v>
      </c>
      <c r="N58" s="29">
        <v>75.52</v>
      </c>
      <c r="O58" s="32"/>
    </row>
    <row r="59" spans="1:15" ht="24" customHeight="1">
      <c r="A59" s="13">
        <v>26</v>
      </c>
      <c r="B59" s="14" t="s">
        <v>29</v>
      </c>
      <c r="C59" s="15" t="s">
        <v>30</v>
      </c>
      <c r="D59" s="15" t="s">
        <v>31</v>
      </c>
      <c r="E59" s="15" t="s">
        <v>32</v>
      </c>
      <c r="F59" s="16" t="s">
        <v>28</v>
      </c>
      <c r="G59" s="16">
        <v>71.5</v>
      </c>
      <c r="H59" s="26">
        <v>59.5833333333333</v>
      </c>
      <c r="I59" s="16">
        <v>90.6</v>
      </c>
      <c r="J59" s="26">
        <v>75.5</v>
      </c>
      <c r="K59" s="16"/>
      <c r="L59" s="27">
        <v>67.5416666666667</v>
      </c>
      <c r="M59" s="28">
        <v>87.36</v>
      </c>
      <c r="N59" s="30">
        <v>75.47</v>
      </c>
      <c r="O59" s="32"/>
    </row>
    <row r="60" spans="1:15" ht="24" customHeight="1">
      <c r="A60" s="13">
        <v>27</v>
      </c>
      <c r="B60" s="14" t="str">
        <f>"20240302"</f>
        <v>20240302</v>
      </c>
      <c r="C60" s="15" t="str">
        <f>"2410104811"</f>
        <v>2410104811</v>
      </c>
      <c r="D60" s="15" t="str">
        <f>"048"</f>
        <v>048</v>
      </c>
      <c r="E60" s="15" t="str">
        <f>"11"</f>
        <v>11</v>
      </c>
      <c r="F60" s="16" t="s">
        <v>28</v>
      </c>
      <c r="G60" s="16">
        <v>94.5</v>
      </c>
      <c r="H60" s="26">
        <v>78.75</v>
      </c>
      <c r="I60" s="16">
        <v>68</v>
      </c>
      <c r="J60" s="26">
        <v>56.6666666666667</v>
      </c>
      <c r="K60" s="16"/>
      <c r="L60" s="27">
        <v>67.7083333333333</v>
      </c>
      <c r="M60" s="28">
        <v>86.5</v>
      </c>
      <c r="N60" s="29">
        <v>75.23</v>
      </c>
      <c r="O60" s="32"/>
    </row>
    <row r="61" spans="1:15" ht="24" customHeight="1">
      <c r="A61" s="13">
        <v>28</v>
      </c>
      <c r="B61" s="14" t="str">
        <f>"20240302"</f>
        <v>20240302</v>
      </c>
      <c r="C61" s="15" t="str">
        <f>"2410105709"</f>
        <v>2410105709</v>
      </c>
      <c r="D61" s="15" t="str">
        <f>"057"</f>
        <v>057</v>
      </c>
      <c r="E61" s="15" t="str">
        <f>"09"</f>
        <v>09</v>
      </c>
      <c r="F61" s="16" t="s">
        <v>28</v>
      </c>
      <c r="G61" s="16">
        <v>86.5</v>
      </c>
      <c r="H61" s="26">
        <v>72.0833333333333</v>
      </c>
      <c r="I61" s="16">
        <v>80.400000000000006</v>
      </c>
      <c r="J61" s="26">
        <v>67</v>
      </c>
      <c r="K61" s="16"/>
      <c r="L61" s="27">
        <v>69.5416666666667</v>
      </c>
      <c r="M61" s="28" t="s">
        <v>27</v>
      </c>
      <c r="N61" s="29">
        <v>41.73</v>
      </c>
      <c r="O61" s="32"/>
    </row>
    <row r="62" spans="1:15" s="2" customFormat="1" ht="24" customHeight="1">
      <c r="A62" s="13">
        <v>29</v>
      </c>
      <c r="B62" s="15" t="str">
        <f>"20240302"</f>
        <v>20240302</v>
      </c>
      <c r="C62" s="15" t="str">
        <f>"2410107813"</f>
        <v>2410107813</v>
      </c>
      <c r="D62" s="15" t="str">
        <f>"078"</f>
        <v>078</v>
      </c>
      <c r="E62" s="15" t="str">
        <f>"13"</f>
        <v>13</v>
      </c>
      <c r="F62" s="16" t="s">
        <v>28</v>
      </c>
      <c r="G62" s="16">
        <v>86</v>
      </c>
      <c r="H62" s="26">
        <v>71.6666666666667</v>
      </c>
      <c r="I62" s="16">
        <v>80.900000000000006</v>
      </c>
      <c r="J62" s="26">
        <v>67.4166666666667</v>
      </c>
      <c r="K62" s="16"/>
      <c r="L62" s="27">
        <v>69.5416666666667</v>
      </c>
      <c r="M62" s="28" t="s">
        <v>27</v>
      </c>
      <c r="N62" s="29">
        <v>41.73</v>
      </c>
      <c r="O62" s="32"/>
    </row>
    <row r="63" spans="1:15" ht="24" customHeight="1">
      <c r="A63" s="9">
        <v>1</v>
      </c>
      <c r="B63" s="10" t="str">
        <f>"20240303"</f>
        <v>20240303</v>
      </c>
      <c r="C63" s="11" t="str">
        <f>"2410208909"</f>
        <v>2410208909</v>
      </c>
      <c r="D63" s="11" t="str">
        <f>"089"</f>
        <v>089</v>
      </c>
      <c r="E63" s="11" t="str">
        <f>"09"</f>
        <v>09</v>
      </c>
      <c r="F63" s="12" t="s">
        <v>33</v>
      </c>
      <c r="G63" s="12">
        <v>75</v>
      </c>
      <c r="H63" s="20">
        <v>62.5</v>
      </c>
      <c r="I63" s="12">
        <v>93.2</v>
      </c>
      <c r="J63" s="20">
        <v>77.6666666666667</v>
      </c>
      <c r="K63" s="12"/>
      <c r="L63" s="21">
        <v>70.0833333333333</v>
      </c>
      <c r="M63" s="22">
        <v>89.4</v>
      </c>
      <c r="N63" s="31">
        <v>77.81</v>
      </c>
      <c r="O63" s="32"/>
    </row>
    <row r="64" spans="1:15" ht="24" customHeight="1">
      <c r="A64" s="9">
        <v>2</v>
      </c>
      <c r="B64" s="10" t="str">
        <f>"20240303"</f>
        <v>20240303</v>
      </c>
      <c r="C64" s="11" t="str">
        <f>"2410108502"</f>
        <v>2410108502</v>
      </c>
      <c r="D64" s="11" t="str">
        <f>"085"</f>
        <v>085</v>
      </c>
      <c r="E64" s="11" t="str">
        <f>"02"</f>
        <v>02</v>
      </c>
      <c r="F64" s="12" t="s">
        <v>33</v>
      </c>
      <c r="G64" s="12">
        <v>75.5</v>
      </c>
      <c r="H64" s="20">
        <v>62.9166666666667</v>
      </c>
      <c r="I64" s="12">
        <v>88.2</v>
      </c>
      <c r="J64" s="20">
        <v>73.5</v>
      </c>
      <c r="K64" s="12"/>
      <c r="L64" s="21">
        <v>68.2083333333333</v>
      </c>
      <c r="M64" s="22">
        <v>91.3</v>
      </c>
      <c r="N64" s="31">
        <v>77.45</v>
      </c>
      <c r="O64" s="32"/>
    </row>
    <row r="65" spans="1:15" ht="24" customHeight="1">
      <c r="A65" s="9">
        <v>3</v>
      </c>
      <c r="B65" s="10" t="str">
        <f>"20240303"</f>
        <v>20240303</v>
      </c>
      <c r="C65" s="11" t="str">
        <f>"2410208930"</f>
        <v>2410208930</v>
      </c>
      <c r="D65" s="11" t="str">
        <f>"089"</f>
        <v>089</v>
      </c>
      <c r="E65" s="11" t="str">
        <f>"30"</f>
        <v>30</v>
      </c>
      <c r="F65" s="12" t="s">
        <v>33</v>
      </c>
      <c r="G65" s="12">
        <v>73</v>
      </c>
      <c r="H65" s="20">
        <v>60.8333333333333</v>
      </c>
      <c r="I65" s="12">
        <v>92.65</v>
      </c>
      <c r="J65" s="20">
        <v>77.2083333333333</v>
      </c>
      <c r="K65" s="12"/>
      <c r="L65" s="21">
        <v>69.0208333333333</v>
      </c>
      <c r="M65" s="22">
        <v>89.86</v>
      </c>
      <c r="N65" s="31">
        <v>77.36</v>
      </c>
      <c r="O65" s="32"/>
    </row>
    <row r="66" spans="1:15" ht="24" customHeight="1">
      <c r="A66" s="9">
        <v>4</v>
      </c>
      <c r="B66" s="10" t="str">
        <f>"20240303"</f>
        <v>20240303</v>
      </c>
      <c r="C66" s="11" t="str">
        <f>"2410208920"</f>
        <v>2410208920</v>
      </c>
      <c r="D66" s="11" t="str">
        <f>"089"</f>
        <v>089</v>
      </c>
      <c r="E66" s="11" t="str">
        <f>"20"</f>
        <v>20</v>
      </c>
      <c r="F66" s="12" t="s">
        <v>33</v>
      </c>
      <c r="G66" s="12">
        <v>78</v>
      </c>
      <c r="H66" s="20">
        <v>65</v>
      </c>
      <c r="I66" s="12">
        <v>84.25</v>
      </c>
      <c r="J66" s="20">
        <v>70.2083333333333</v>
      </c>
      <c r="K66" s="12"/>
      <c r="L66" s="21">
        <v>67.6041666666667</v>
      </c>
      <c r="M66" s="22">
        <v>88.7</v>
      </c>
      <c r="N66" s="31">
        <v>76.040000000000006</v>
      </c>
      <c r="O66" s="32"/>
    </row>
    <row r="67" spans="1:15" ht="24" customHeight="1">
      <c r="A67" s="9">
        <v>5</v>
      </c>
      <c r="B67" s="10" t="s">
        <v>34</v>
      </c>
      <c r="C67" s="11" t="s">
        <v>35</v>
      </c>
      <c r="D67" s="11" t="s">
        <v>36</v>
      </c>
      <c r="E67" s="11" t="s">
        <v>37</v>
      </c>
      <c r="F67" s="12" t="s">
        <v>33</v>
      </c>
      <c r="G67" s="12">
        <v>79</v>
      </c>
      <c r="H67" s="20">
        <v>65.8333333333333</v>
      </c>
      <c r="I67" s="12">
        <v>80.900000000000006</v>
      </c>
      <c r="J67" s="20">
        <v>67.4166666666667</v>
      </c>
      <c r="K67" s="12"/>
      <c r="L67" s="21">
        <v>66.625</v>
      </c>
      <c r="M67" s="22">
        <v>89.68</v>
      </c>
      <c r="N67" s="25">
        <v>75.849999999999994</v>
      </c>
      <c r="O67" s="32"/>
    </row>
    <row r="68" spans="1:15" ht="24" customHeight="1">
      <c r="A68" s="9">
        <v>6</v>
      </c>
      <c r="B68" s="10" t="s">
        <v>34</v>
      </c>
      <c r="C68" s="11" t="s">
        <v>38</v>
      </c>
      <c r="D68" s="11" t="s">
        <v>39</v>
      </c>
      <c r="E68" s="11" t="s">
        <v>40</v>
      </c>
      <c r="F68" s="12" t="s">
        <v>33</v>
      </c>
      <c r="G68" s="12">
        <v>74.5</v>
      </c>
      <c r="H68" s="20">
        <v>62.0833333333333</v>
      </c>
      <c r="I68" s="12">
        <v>85.7</v>
      </c>
      <c r="J68" s="20">
        <v>71.4166666666667</v>
      </c>
      <c r="K68" s="12"/>
      <c r="L68" s="21">
        <v>66.75</v>
      </c>
      <c r="M68" s="22">
        <v>89.22</v>
      </c>
      <c r="N68" s="25">
        <v>75.739999999999995</v>
      </c>
      <c r="O68" s="32"/>
    </row>
    <row r="69" spans="1:15" s="2" customFormat="1" ht="24" customHeight="1">
      <c r="A69" s="9">
        <v>7</v>
      </c>
      <c r="B69" s="11" t="str">
        <f>"20240303"</f>
        <v>20240303</v>
      </c>
      <c r="C69" s="11" t="str">
        <f>"2410108703"</f>
        <v>2410108703</v>
      </c>
      <c r="D69" s="11" t="str">
        <f>"087"</f>
        <v>087</v>
      </c>
      <c r="E69" s="11" t="str">
        <f>"03"</f>
        <v>03</v>
      </c>
      <c r="F69" s="12" t="s">
        <v>33</v>
      </c>
      <c r="G69" s="12">
        <v>72</v>
      </c>
      <c r="H69" s="20">
        <v>60</v>
      </c>
      <c r="I69" s="12">
        <v>90.15</v>
      </c>
      <c r="J69" s="20">
        <v>75.125</v>
      </c>
      <c r="K69" s="12"/>
      <c r="L69" s="21">
        <v>67.5625</v>
      </c>
      <c r="M69" s="22">
        <v>87.98</v>
      </c>
      <c r="N69" s="31">
        <v>75.73</v>
      </c>
      <c r="O69" s="32"/>
    </row>
    <row r="70" spans="1:15" s="2" customFormat="1" ht="24" customHeight="1">
      <c r="A70" s="9">
        <v>8</v>
      </c>
      <c r="B70" s="11" t="s">
        <v>34</v>
      </c>
      <c r="C70" s="11" t="s">
        <v>41</v>
      </c>
      <c r="D70" s="11" t="s">
        <v>42</v>
      </c>
      <c r="E70" s="11" t="s">
        <v>43</v>
      </c>
      <c r="F70" s="12" t="s">
        <v>33</v>
      </c>
      <c r="G70" s="12">
        <v>74.5</v>
      </c>
      <c r="H70" s="20">
        <v>62.0833333333333</v>
      </c>
      <c r="I70" s="12">
        <v>85.2</v>
      </c>
      <c r="J70" s="20">
        <v>71</v>
      </c>
      <c r="K70" s="12"/>
      <c r="L70" s="21">
        <v>66.5416666666667</v>
      </c>
      <c r="M70" s="22">
        <v>88.32</v>
      </c>
      <c r="N70" s="25">
        <v>75.25</v>
      </c>
      <c r="O70" s="32"/>
    </row>
    <row r="71" spans="1:15" s="2" customFormat="1" ht="24" customHeight="1">
      <c r="A71" s="9">
        <v>9</v>
      </c>
      <c r="B71" s="11" t="str">
        <f>"20240303"</f>
        <v>20240303</v>
      </c>
      <c r="C71" s="11" t="str">
        <f>"2410108610"</f>
        <v>2410108610</v>
      </c>
      <c r="D71" s="11" t="str">
        <f>"086"</f>
        <v>086</v>
      </c>
      <c r="E71" s="11" t="str">
        <f>"10"</f>
        <v>10</v>
      </c>
      <c r="F71" s="12" t="s">
        <v>33</v>
      </c>
      <c r="G71" s="12">
        <v>77</v>
      </c>
      <c r="H71" s="20">
        <v>64.1666666666667</v>
      </c>
      <c r="I71" s="12">
        <v>92.95</v>
      </c>
      <c r="J71" s="20">
        <v>77.4583333333333</v>
      </c>
      <c r="K71" s="12"/>
      <c r="L71" s="21">
        <v>70.8125</v>
      </c>
      <c r="M71" s="22" t="s">
        <v>27</v>
      </c>
      <c r="N71" s="31">
        <v>42.49</v>
      </c>
      <c r="O71" s="32"/>
    </row>
    <row r="72" spans="1:15" ht="24" customHeight="1">
      <c r="A72" s="13">
        <v>1</v>
      </c>
      <c r="B72" s="14" t="str">
        <f>"20240304"</f>
        <v>20240304</v>
      </c>
      <c r="C72" s="15" t="str">
        <f>"2410209301"</f>
        <v>2410209301</v>
      </c>
      <c r="D72" s="15" t="str">
        <f>"093"</f>
        <v>093</v>
      </c>
      <c r="E72" s="15" t="str">
        <f>"01"</f>
        <v>01</v>
      </c>
      <c r="F72" s="16" t="s">
        <v>44</v>
      </c>
      <c r="G72" s="16">
        <v>76.5</v>
      </c>
      <c r="H72" s="26">
        <v>63.75</v>
      </c>
      <c r="I72" s="16">
        <v>81.099999999999994</v>
      </c>
      <c r="J72" s="26">
        <v>67.5833333333333</v>
      </c>
      <c r="K72" s="16"/>
      <c r="L72" s="27">
        <v>65.6666666666667</v>
      </c>
      <c r="M72" s="28">
        <v>92</v>
      </c>
      <c r="N72" s="29">
        <v>76.2</v>
      </c>
      <c r="O72" s="32"/>
    </row>
    <row r="73" spans="1:15" ht="24" customHeight="1">
      <c r="A73" s="13">
        <v>2</v>
      </c>
      <c r="B73" s="14" t="str">
        <f>"20240304"</f>
        <v>20240304</v>
      </c>
      <c r="C73" s="15" t="str">
        <f>"2410209511"</f>
        <v>2410209511</v>
      </c>
      <c r="D73" s="15" t="str">
        <f>"095"</f>
        <v>095</v>
      </c>
      <c r="E73" s="15" t="str">
        <f>"11"</f>
        <v>11</v>
      </c>
      <c r="F73" s="16" t="s">
        <v>44</v>
      </c>
      <c r="G73" s="16">
        <v>77</v>
      </c>
      <c r="H73" s="26">
        <v>64.1666666666667</v>
      </c>
      <c r="I73" s="16">
        <v>80.599999999999994</v>
      </c>
      <c r="J73" s="26">
        <v>67.1666666666667</v>
      </c>
      <c r="K73" s="16"/>
      <c r="L73" s="27">
        <v>65.6666666666667</v>
      </c>
      <c r="M73" s="28">
        <v>91.8</v>
      </c>
      <c r="N73" s="29">
        <v>76.12</v>
      </c>
      <c r="O73" s="32"/>
    </row>
    <row r="74" spans="1:15" ht="24" customHeight="1">
      <c r="A74" s="13">
        <v>3</v>
      </c>
      <c r="B74" s="14" t="str">
        <f>"20240304"</f>
        <v>20240304</v>
      </c>
      <c r="C74" s="15" t="str">
        <f>"2410209207"</f>
        <v>2410209207</v>
      </c>
      <c r="D74" s="15" t="str">
        <f>"092"</f>
        <v>092</v>
      </c>
      <c r="E74" s="15" t="str">
        <f>"07"</f>
        <v>07</v>
      </c>
      <c r="F74" s="16" t="s">
        <v>44</v>
      </c>
      <c r="G74" s="16">
        <v>78.5</v>
      </c>
      <c r="H74" s="26">
        <v>65.4166666666667</v>
      </c>
      <c r="I74" s="16">
        <v>78</v>
      </c>
      <c r="J74" s="26">
        <v>65</v>
      </c>
      <c r="K74" s="16"/>
      <c r="L74" s="27">
        <v>65.2083333333333</v>
      </c>
      <c r="M74" s="28">
        <v>90.12</v>
      </c>
      <c r="N74" s="29">
        <v>75.17</v>
      </c>
      <c r="O74" s="32"/>
    </row>
    <row r="75" spans="1:15" ht="24" customHeight="1">
      <c r="A75" s="13">
        <v>4</v>
      </c>
      <c r="B75" s="14" t="str">
        <f>"20240304"</f>
        <v>20240304</v>
      </c>
      <c r="C75" s="15" t="str">
        <f>"2410209201"</f>
        <v>2410209201</v>
      </c>
      <c r="D75" s="15" t="str">
        <f>"092"</f>
        <v>092</v>
      </c>
      <c r="E75" s="15" t="str">
        <f>"01"</f>
        <v>01</v>
      </c>
      <c r="F75" s="16" t="s">
        <v>44</v>
      </c>
      <c r="G75" s="16">
        <v>72</v>
      </c>
      <c r="H75" s="26">
        <v>60</v>
      </c>
      <c r="I75" s="16">
        <v>84.4</v>
      </c>
      <c r="J75" s="26">
        <v>70.3333333333333</v>
      </c>
      <c r="K75" s="16"/>
      <c r="L75" s="27">
        <v>65.1666666666667</v>
      </c>
      <c r="M75" s="28">
        <v>88.66</v>
      </c>
      <c r="N75" s="29">
        <v>74.56</v>
      </c>
      <c r="O75" s="32"/>
    </row>
    <row r="76" spans="1:15" s="2" customFormat="1" ht="24" customHeight="1">
      <c r="A76" s="13">
        <v>5</v>
      </c>
      <c r="B76" s="15" t="s">
        <v>45</v>
      </c>
      <c r="C76" s="15" t="s">
        <v>46</v>
      </c>
      <c r="D76" s="15" t="s">
        <v>47</v>
      </c>
      <c r="E76" s="15" t="s">
        <v>48</v>
      </c>
      <c r="F76" s="16" t="s">
        <v>44</v>
      </c>
      <c r="G76" s="16">
        <v>77</v>
      </c>
      <c r="H76" s="26">
        <v>64.1666666666667</v>
      </c>
      <c r="I76" s="16">
        <v>70.900000000000006</v>
      </c>
      <c r="J76" s="26">
        <v>59.0833333333333</v>
      </c>
      <c r="K76" s="16"/>
      <c r="L76" s="27">
        <v>61.625</v>
      </c>
      <c r="M76" s="28">
        <v>87.54</v>
      </c>
      <c r="N76" s="30">
        <v>71.989999999999995</v>
      </c>
      <c r="O76" s="32"/>
    </row>
    <row r="77" spans="1:15" ht="24" customHeight="1">
      <c r="A77" s="9">
        <v>1</v>
      </c>
      <c r="B77" s="10" t="str">
        <f t="shared" ref="B77:B89" si="3">"20240305"</f>
        <v>20240305</v>
      </c>
      <c r="C77" s="11" t="str">
        <f>"2410210205"</f>
        <v>2410210205</v>
      </c>
      <c r="D77" s="11" t="str">
        <f>"102"</f>
        <v>102</v>
      </c>
      <c r="E77" s="11" t="str">
        <f>"05"</f>
        <v>05</v>
      </c>
      <c r="F77" s="12" t="s">
        <v>49</v>
      </c>
      <c r="G77" s="12">
        <v>89.5</v>
      </c>
      <c r="H77" s="20">
        <v>74.5833333333333</v>
      </c>
      <c r="I77" s="12">
        <v>105.5</v>
      </c>
      <c r="J77" s="20">
        <v>87.9166666666667</v>
      </c>
      <c r="K77" s="12"/>
      <c r="L77" s="21">
        <v>81.25</v>
      </c>
      <c r="M77" s="22">
        <v>91.84</v>
      </c>
      <c r="N77" s="25">
        <v>85.49</v>
      </c>
      <c r="O77" s="32"/>
    </row>
    <row r="78" spans="1:15" ht="24" customHeight="1">
      <c r="A78" s="9">
        <v>2</v>
      </c>
      <c r="B78" s="10" t="str">
        <f t="shared" si="3"/>
        <v>20240305</v>
      </c>
      <c r="C78" s="11" t="str">
        <f>"2410209805"</f>
        <v>2410209805</v>
      </c>
      <c r="D78" s="11" t="str">
        <f>"098"</f>
        <v>098</v>
      </c>
      <c r="E78" s="11" t="str">
        <f>"05"</f>
        <v>05</v>
      </c>
      <c r="F78" s="12" t="s">
        <v>49</v>
      </c>
      <c r="G78" s="12">
        <v>83.5</v>
      </c>
      <c r="H78" s="20">
        <v>69.5833333333333</v>
      </c>
      <c r="I78" s="12">
        <v>111</v>
      </c>
      <c r="J78" s="20">
        <v>92.5</v>
      </c>
      <c r="K78" s="12"/>
      <c r="L78" s="21">
        <v>81.0416666666667</v>
      </c>
      <c r="M78" s="22">
        <v>89.48</v>
      </c>
      <c r="N78" s="25">
        <v>84.42</v>
      </c>
      <c r="O78" s="32"/>
    </row>
    <row r="79" spans="1:15" ht="24" customHeight="1">
      <c r="A79" s="9">
        <v>3</v>
      </c>
      <c r="B79" s="10" t="str">
        <f t="shared" si="3"/>
        <v>20240305</v>
      </c>
      <c r="C79" s="11" t="str">
        <f>"2410210017"</f>
        <v>2410210017</v>
      </c>
      <c r="D79" s="11" t="str">
        <f>"100"</f>
        <v>100</v>
      </c>
      <c r="E79" s="11" t="str">
        <f>"17"</f>
        <v>17</v>
      </c>
      <c r="F79" s="12" t="s">
        <v>49</v>
      </c>
      <c r="G79" s="12">
        <v>91</v>
      </c>
      <c r="H79" s="20">
        <v>75.8333333333333</v>
      </c>
      <c r="I79" s="12">
        <v>103</v>
      </c>
      <c r="J79" s="20">
        <v>85.8333333333333</v>
      </c>
      <c r="K79" s="12"/>
      <c r="L79" s="21">
        <v>80.8333333333333</v>
      </c>
      <c r="M79" s="22">
        <v>88.2</v>
      </c>
      <c r="N79" s="25">
        <v>83.78</v>
      </c>
      <c r="O79" s="32"/>
    </row>
    <row r="80" spans="1:15" ht="24" customHeight="1">
      <c r="A80" s="9">
        <v>4</v>
      </c>
      <c r="B80" s="10" t="str">
        <f t="shared" si="3"/>
        <v>20240305</v>
      </c>
      <c r="C80" s="11" t="str">
        <f>"2410210419"</f>
        <v>2410210419</v>
      </c>
      <c r="D80" s="11" t="str">
        <f>"104"</f>
        <v>104</v>
      </c>
      <c r="E80" s="11" t="str">
        <f>"19"</f>
        <v>19</v>
      </c>
      <c r="F80" s="12" t="s">
        <v>49</v>
      </c>
      <c r="G80" s="12">
        <v>85</v>
      </c>
      <c r="H80" s="20">
        <v>70.8333333333333</v>
      </c>
      <c r="I80" s="12">
        <v>105</v>
      </c>
      <c r="J80" s="20">
        <v>87.5</v>
      </c>
      <c r="K80" s="12"/>
      <c r="L80" s="21">
        <v>79.1666666666667</v>
      </c>
      <c r="M80" s="22">
        <v>89.8</v>
      </c>
      <c r="N80" s="25">
        <v>83.42</v>
      </c>
      <c r="O80" s="32"/>
    </row>
    <row r="81" spans="1:15" ht="24" customHeight="1">
      <c r="A81" s="9">
        <v>5</v>
      </c>
      <c r="B81" s="10" t="str">
        <f t="shared" si="3"/>
        <v>20240305</v>
      </c>
      <c r="C81" s="11" t="str">
        <f>"2410210025"</f>
        <v>2410210025</v>
      </c>
      <c r="D81" s="11" t="str">
        <f>"100"</f>
        <v>100</v>
      </c>
      <c r="E81" s="11" t="str">
        <f>"25"</f>
        <v>25</v>
      </c>
      <c r="F81" s="12" t="s">
        <v>49</v>
      </c>
      <c r="G81" s="12">
        <v>87</v>
      </c>
      <c r="H81" s="20">
        <v>72.5</v>
      </c>
      <c r="I81" s="12">
        <v>102</v>
      </c>
      <c r="J81" s="20">
        <v>85</v>
      </c>
      <c r="K81" s="12"/>
      <c r="L81" s="21">
        <v>78.75</v>
      </c>
      <c r="M81" s="22">
        <v>90.24</v>
      </c>
      <c r="N81" s="25">
        <v>83.35</v>
      </c>
      <c r="O81" s="32"/>
    </row>
    <row r="82" spans="1:15" ht="24" customHeight="1">
      <c r="A82" s="9">
        <v>6</v>
      </c>
      <c r="B82" s="10" t="str">
        <f t="shared" si="3"/>
        <v>20240305</v>
      </c>
      <c r="C82" s="11" t="str">
        <f>"2410210321"</f>
        <v>2410210321</v>
      </c>
      <c r="D82" s="11" t="str">
        <f>"103"</f>
        <v>103</v>
      </c>
      <c r="E82" s="11" t="str">
        <f>"21"</f>
        <v>21</v>
      </c>
      <c r="F82" s="12" t="s">
        <v>49</v>
      </c>
      <c r="G82" s="12">
        <v>82</v>
      </c>
      <c r="H82" s="20">
        <v>68.3333333333333</v>
      </c>
      <c r="I82" s="12">
        <v>106.5</v>
      </c>
      <c r="J82" s="20">
        <v>88.75</v>
      </c>
      <c r="K82" s="12"/>
      <c r="L82" s="21">
        <v>78.5416666666667</v>
      </c>
      <c r="M82" s="22">
        <v>89.86</v>
      </c>
      <c r="N82" s="25">
        <v>83.07</v>
      </c>
      <c r="O82" s="32"/>
    </row>
    <row r="83" spans="1:15" ht="24" customHeight="1">
      <c r="A83" s="9">
        <v>7</v>
      </c>
      <c r="B83" s="10" t="str">
        <f t="shared" si="3"/>
        <v>20240305</v>
      </c>
      <c r="C83" s="11" t="str">
        <f>"2410211210"</f>
        <v>2410211210</v>
      </c>
      <c r="D83" s="11" t="str">
        <f>"112"</f>
        <v>112</v>
      </c>
      <c r="E83" s="11" t="str">
        <f>"10"</f>
        <v>10</v>
      </c>
      <c r="F83" s="12" t="s">
        <v>49</v>
      </c>
      <c r="G83" s="12">
        <v>81.5</v>
      </c>
      <c r="H83" s="20">
        <v>67.9166666666667</v>
      </c>
      <c r="I83" s="12">
        <v>105</v>
      </c>
      <c r="J83" s="20">
        <v>87.5</v>
      </c>
      <c r="K83" s="12"/>
      <c r="L83" s="21">
        <v>77.7083333333333</v>
      </c>
      <c r="M83" s="22">
        <v>91.02</v>
      </c>
      <c r="N83" s="25">
        <v>83.03</v>
      </c>
      <c r="O83" s="32"/>
    </row>
    <row r="84" spans="1:15" ht="24" customHeight="1">
      <c r="A84" s="9">
        <v>8</v>
      </c>
      <c r="B84" s="10" t="str">
        <f t="shared" si="3"/>
        <v>20240305</v>
      </c>
      <c r="C84" s="11" t="str">
        <f>"2410209709"</f>
        <v>2410209709</v>
      </c>
      <c r="D84" s="11" t="str">
        <f>"097"</f>
        <v>097</v>
      </c>
      <c r="E84" s="11" t="str">
        <f>"09"</f>
        <v>09</v>
      </c>
      <c r="F84" s="12" t="s">
        <v>49</v>
      </c>
      <c r="G84" s="12">
        <v>75</v>
      </c>
      <c r="H84" s="20">
        <v>62.5</v>
      </c>
      <c r="I84" s="12">
        <v>112</v>
      </c>
      <c r="J84" s="20">
        <v>93.3333333333333</v>
      </c>
      <c r="K84" s="12"/>
      <c r="L84" s="21">
        <v>77.9166666666667</v>
      </c>
      <c r="M84" s="22">
        <v>89.98</v>
      </c>
      <c r="N84" s="25">
        <v>82.74</v>
      </c>
      <c r="O84" s="32"/>
    </row>
    <row r="85" spans="1:15" ht="24" customHeight="1">
      <c r="A85" s="9">
        <v>9</v>
      </c>
      <c r="B85" s="10" t="str">
        <f t="shared" si="3"/>
        <v>20240305</v>
      </c>
      <c r="C85" s="11" t="str">
        <f>"2410210506"</f>
        <v>2410210506</v>
      </c>
      <c r="D85" s="11" t="str">
        <f>"105"</f>
        <v>105</v>
      </c>
      <c r="E85" s="11" t="str">
        <f>"06"</f>
        <v>06</v>
      </c>
      <c r="F85" s="12" t="s">
        <v>49</v>
      </c>
      <c r="G85" s="12">
        <v>80</v>
      </c>
      <c r="H85" s="20">
        <v>66.6666666666667</v>
      </c>
      <c r="I85" s="12">
        <v>107.5</v>
      </c>
      <c r="J85" s="20">
        <v>89.5833333333333</v>
      </c>
      <c r="K85" s="12"/>
      <c r="L85" s="21">
        <v>78.125</v>
      </c>
      <c r="M85" s="22">
        <v>88.32</v>
      </c>
      <c r="N85" s="25">
        <v>82.2</v>
      </c>
      <c r="O85" s="32"/>
    </row>
    <row r="86" spans="1:15" ht="24" customHeight="1">
      <c r="A86" s="9">
        <v>10</v>
      </c>
      <c r="B86" s="10" t="str">
        <f t="shared" si="3"/>
        <v>20240305</v>
      </c>
      <c r="C86" s="11" t="str">
        <f>"2410211002"</f>
        <v>2410211002</v>
      </c>
      <c r="D86" s="11" t="str">
        <f>"110"</f>
        <v>110</v>
      </c>
      <c r="E86" s="11" t="str">
        <f>"02"</f>
        <v>02</v>
      </c>
      <c r="F86" s="12" t="s">
        <v>49</v>
      </c>
      <c r="G86" s="12">
        <v>78</v>
      </c>
      <c r="H86" s="20">
        <v>65</v>
      </c>
      <c r="I86" s="12">
        <v>108.5</v>
      </c>
      <c r="J86" s="20">
        <v>90.4166666666667</v>
      </c>
      <c r="K86" s="12"/>
      <c r="L86" s="21">
        <v>77.7083333333333</v>
      </c>
      <c r="M86" s="22">
        <v>88.6</v>
      </c>
      <c r="N86" s="25">
        <v>82.07</v>
      </c>
      <c r="O86" s="32"/>
    </row>
    <row r="87" spans="1:15" ht="24" customHeight="1">
      <c r="A87" s="9">
        <v>11</v>
      </c>
      <c r="B87" s="10" t="str">
        <f t="shared" si="3"/>
        <v>20240305</v>
      </c>
      <c r="C87" s="11" t="str">
        <f>"2410211110"</f>
        <v>2410211110</v>
      </c>
      <c r="D87" s="11" t="str">
        <f>"111"</f>
        <v>111</v>
      </c>
      <c r="E87" s="11" t="str">
        <f>"10"</f>
        <v>10</v>
      </c>
      <c r="F87" s="12" t="s">
        <v>49</v>
      </c>
      <c r="G87" s="12">
        <v>79</v>
      </c>
      <c r="H87" s="20">
        <v>65.8333333333333</v>
      </c>
      <c r="I87" s="12">
        <v>107.5</v>
      </c>
      <c r="J87" s="20">
        <v>89.5833333333333</v>
      </c>
      <c r="K87" s="12"/>
      <c r="L87" s="21">
        <v>77.7083333333333</v>
      </c>
      <c r="M87" s="22">
        <v>88.14</v>
      </c>
      <c r="N87" s="25">
        <v>81.88</v>
      </c>
      <c r="O87" s="32"/>
    </row>
    <row r="88" spans="1:15" ht="24" customHeight="1">
      <c r="A88" s="9">
        <v>12</v>
      </c>
      <c r="B88" s="10" t="str">
        <f t="shared" si="3"/>
        <v>20240305</v>
      </c>
      <c r="C88" s="11" t="str">
        <f>"2410210608"</f>
        <v>2410210608</v>
      </c>
      <c r="D88" s="11" t="str">
        <f>"106"</f>
        <v>106</v>
      </c>
      <c r="E88" s="11" t="str">
        <f>"08"</f>
        <v>08</v>
      </c>
      <c r="F88" s="12" t="s">
        <v>49</v>
      </c>
      <c r="G88" s="12">
        <v>86</v>
      </c>
      <c r="H88" s="20">
        <v>71.6666666666667</v>
      </c>
      <c r="I88" s="12">
        <v>100.5</v>
      </c>
      <c r="J88" s="20">
        <v>83.75</v>
      </c>
      <c r="K88" s="12"/>
      <c r="L88" s="21">
        <v>77.7083333333333</v>
      </c>
      <c r="M88" s="22">
        <v>87.64</v>
      </c>
      <c r="N88" s="25">
        <v>81.680000000000007</v>
      </c>
      <c r="O88" s="32"/>
    </row>
    <row r="89" spans="1:15" ht="24" customHeight="1">
      <c r="A89" s="9">
        <v>13</v>
      </c>
      <c r="B89" s="10" t="str">
        <f t="shared" si="3"/>
        <v>20240305</v>
      </c>
      <c r="C89" s="11" t="str">
        <f>"2410209829"</f>
        <v>2410209829</v>
      </c>
      <c r="D89" s="11" t="str">
        <f>"098"</f>
        <v>098</v>
      </c>
      <c r="E89" s="11" t="str">
        <f>"29"</f>
        <v>29</v>
      </c>
      <c r="F89" s="12" t="s">
        <v>49</v>
      </c>
      <c r="G89" s="12">
        <v>81</v>
      </c>
      <c r="H89" s="20">
        <v>67.5</v>
      </c>
      <c r="I89" s="12">
        <v>105.5</v>
      </c>
      <c r="J89" s="20">
        <v>87.9166666666667</v>
      </c>
      <c r="K89" s="12"/>
      <c r="L89" s="21">
        <v>77.7083333333333</v>
      </c>
      <c r="M89" s="22">
        <v>87.38</v>
      </c>
      <c r="N89" s="25">
        <v>81.58</v>
      </c>
      <c r="O89" s="32"/>
    </row>
    <row r="90" spans="1:15" ht="24" customHeight="1">
      <c r="A90" s="13">
        <v>1</v>
      </c>
      <c r="B90" s="14" t="str">
        <f t="shared" ref="B90:B107" si="4">"20240306"</f>
        <v>20240306</v>
      </c>
      <c r="C90" s="15" t="str">
        <f>"2420101412"</f>
        <v>2420101412</v>
      </c>
      <c r="D90" s="15" t="str">
        <f>"014"</f>
        <v>014</v>
      </c>
      <c r="E90" s="15" t="str">
        <f>"12"</f>
        <v>12</v>
      </c>
      <c r="F90" s="16" t="s">
        <v>50</v>
      </c>
      <c r="G90" s="16">
        <v>87.5</v>
      </c>
      <c r="H90" s="26">
        <v>72.9166666666667</v>
      </c>
      <c r="I90" s="16">
        <v>101.5</v>
      </c>
      <c r="J90" s="26">
        <v>84.5833333333333</v>
      </c>
      <c r="K90" s="16"/>
      <c r="L90" s="27">
        <v>78.75</v>
      </c>
      <c r="M90" s="28">
        <v>84.6</v>
      </c>
      <c r="N90" s="29">
        <v>81.09</v>
      </c>
      <c r="O90" s="32"/>
    </row>
    <row r="91" spans="1:15" ht="24" customHeight="1">
      <c r="A91" s="13">
        <v>2</v>
      </c>
      <c r="B91" s="14" t="str">
        <f t="shared" si="4"/>
        <v>20240306</v>
      </c>
      <c r="C91" s="15" t="str">
        <f>"2420100215"</f>
        <v>2420100215</v>
      </c>
      <c r="D91" s="15" t="str">
        <f>"002"</f>
        <v>002</v>
      </c>
      <c r="E91" s="15" t="str">
        <f>"15"</f>
        <v>15</v>
      </c>
      <c r="F91" s="16" t="s">
        <v>50</v>
      </c>
      <c r="G91" s="16">
        <v>98</v>
      </c>
      <c r="H91" s="26">
        <v>81.6666666666667</v>
      </c>
      <c r="I91" s="16">
        <v>77.5</v>
      </c>
      <c r="J91" s="26">
        <v>64.5833333333333</v>
      </c>
      <c r="K91" s="16"/>
      <c r="L91" s="27">
        <v>73.125</v>
      </c>
      <c r="M91" s="28">
        <v>87.24</v>
      </c>
      <c r="N91" s="29">
        <v>78.77</v>
      </c>
      <c r="O91" s="32"/>
    </row>
    <row r="92" spans="1:15" ht="24" customHeight="1">
      <c r="A92" s="13">
        <v>3</v>
      </c>
      <c r="B92" s="14" t="str">
        <f t="shared" si="4"/>
        <v>20240306</v>
      </c>
      <c r="C92" s="15" t="str">
        <f>"2420100111"</f>
        <v>2420100111</v>
      </c>
      <c r="D92" s="15" t="str">
        <f>"001"</f>
        <v>001</v>
      </c>
      <c r="E92" s="15" t="str">
        <f>"11"</f>
        <v>11</v>
      </c>
      <c r="F92" s="16" t="s">
        <v>50</v>
      </c>
      <c r="G92" s="16">
        <v>89.5</v>
      </c>
      <c r="H92" s="26">
        <v>74.5833333333333</v>
      </c>
      <c r="I92" s="16">
        <v>88</v>
      </c>
      <c r="J92" s="26">
        <v>73.3333333333333</v>
      </c>
      <c r="K92" s="16"/>
      <c r="L92" s="27">
        <v>73.9583333333333</v>
      </c>
      <c r="M92" s="28">
        <v>83.1</v>
      </c>
      <c r="N92" s="29">
        <v>77.62</v>
      </c>
      <c r="O92" s="32"/>
    </row>
    <row r="93" spans="1:15" ht="24" customHeight="1">
      <c r="A93" s="13">
        <v>4</v>
      </c>
      <c r="B93" s="14" t="str">
        <f t="shared" si="4"/>
        <v>20240306</v>
      </c>
      <c r="C93" s="15" t="str">
        <f>"2420101405"</f>
        <v>2420101405</v>
      </c>
      <c r="D93" s="15" t="str">
        <f>"014"</f>
        <v>014</v>
      </c>
      <c r="E93" s="15" t="str">
        <f>"05"</f>
        <v>05</v>
      </c>
      <c r="F93" s="16" t="s">
        <v>50</v>
      </c>
      <c r="G93" s="16">
        <v>93.5</v>
      </c>
      <c r="H93" s="26">
        <v>77.9166666666667</v>
      </c>
      <c r="I93" s="16">
        <v>79.5</v>
      </c>
      <c r="J93" s="26">
        <v>66.25</v>
      </c>
      <c r="K93" s="16"/>
      <c r="L93" s="27">
        <v>72.0833333333333</v>
      </c>
      <c r="M93" s="28">
        <v>85.2</v>
      </c>
      <c r="N93" s="29">
        <v>77.33</v>
      </c>
      <c r="O93" s="32"/>
    </row>
    <row r="94" spans="1:15" ht="24" customHeight="1">
      <c r="A94" s="13">
        <v>5</v>
      </c>
      <c r="B94" s="14" t="str">
        <f t="shared" si="4"/>
        <v>20240306</v>
      </c>
      <c r="C94" s="15" t="str">
        <f>"2420101511"</f>
        <v>2420101511</v>
      </c>
      <c r="D94" s="15" t="str">
        <f>"015"</f>
        <v>015</v>
      </c>
      <c r="E94" s="15" t="str">
        <f>"11"</f>
        <v>11</v>
      </c>
      <c r="F94" s="16" t="s">
        <v>50</v>
      </c>
      <c r="G94" s="16">
        <v>89.5</v>
      </c>
      <c r="H94" s="26">
        <v>74.5833333333333</v>
      </c>
      <c r="I94" s="16">
        <v>88</v>
      </c>
      <c r="J94" s="26">
        <v>73.3333333333333</v>
      </c>
      <c r="K94" s="16"/>
      <c r="L94" s="27">
        <v>73.9583333333333</v>
      </c>
      <c r="M94" s="28">
        <v>81.58</v>
      </c>
      <c r="N94" s="29">
        <v>77.010000000000005</v>
      </c>
      <c r="O94" s="32"/>
    </row>
    <row r="95" spans="1:15" ht="24" customHeight="1">
      <c r="A95" s="13">
        <v>6</v>
      </c>
      <c r="B95" s="14" t="str">
        <f t="shared" si="4"/>
        <v>20240306</v>
      </c>
      <c r="C95" s="15" t="str">
        <f>"2420100926"</f>
        <v>2420100926</v>
      </c>
      <c r="D95" s="15" t="str">
        <f>"009"</f>
        <v>009</v>
      </c>
      <c r="E95" s="15" t="str">
        <f>"26"</f>
        <v>26</v>
      </c>
      <c r="F95" s="16" t="s">
        <v>50</v>
      </c>
      <c r="G95" s="16">
        <v>83</v>
      </c>
      <c r="H95" s="26">
        <v>69.1666666666667</v>
      </c>
      <c r="I95" s="16">
        <v>91.5</v>
      </c>
      <c r="J95" s="26">
        <v>76.25</v>
      </c>
      <c r="K95" s="16"/>
      <c r="L95" s="27">
        <v>72.7083333333333</v>
      </c>
      <c r="M95" s="28">
        <v>83.46</v>
      </c>
      <c r="N95" s="29">
        <v>77.010000000000005</v>
      </c>
      <c r="O95" s="32"/>
    </row>
    <row r="96" spans="1:15" ht="24" customHeight="1">
      <c r="A96" s="13">
        <v>7</v>
      </c>
      <c r="B96" s="14" t="str">
        <f t="shared" si="4"/>
        <v>20240306</v>
      </c>
      <c r="C96" s="15" t="str">
        <f>"2420100730"</f>
        <v>2420100730</v>
      </c>
      <c r="D96" s="15" t="str">
        <f>"007"</f>
        <v>007</v>
      </c>
      <c r="E96" s="15" t="str">
        <f>"30"</f>
        <v>30</v>
      </c>
      <c r="F96" s="16" t="s">
        <v>50</v>
      </c>
      <c r="G96" s="16">
        <v>85</v>
      </c>
      <c r="H96" s="26">
        <v>70.8333333333333</v>
      </c>
      <c r="I96" s="16">
        <v>91</v>
      </c>
      <c r="J96" s="26">
        <v>75.8333333333333</v>
      </c>
      <c r="K96" s="16"/>
      <c r="L96" s="27">
        <v>73.3333333333333</v>
      </c>
      <c r="M96" s="28">
        <v>82.24</v>
      </c>
      <c r="N96" s="29">
        <v>76.900000000000006</v>
      </c>
      <c r="O96" s="32"/>
    </row>
    <row r="97" spans="1:15" ht="24" customHeight="1">
      <c r="A97" s="13">
        <v>8</v>
      </c>
      <c r="B97" s="14" t="str">
        <f t="shared" si="4"/>
        <v>20240306</v>
      </c>
      <c r="C97" s="15" t="str">
        <f>"2420100813"</f>
        <v>2420100813</v>
      </c>
      <c r="D97" s="15" t="str">
        <f>"008"</f>
        <v>008</v>
      </c>
      <c r="E97" s="15" t="str">
        <f>"13"</f>
        <v>13</v>
      </c>
      <c r="F97" s="16" t="s">
        <v>50</v>
      </c>
      <c r="G97" s="16">
        <v>96</v>
      </c>
      <c r="H97" s="26">
        <v>80</v>
      </c>
      <c r="I97" s="16">
        <v>76</v>
      </c>
      <c r="J97" s="26">
        <v>63.3333333333333</v>
      </c>
      <c r="K97" s="16"/>
      <c r="L97" s="27">
        <v>71.6666666666667</v>
      </c>
      <c r="M97" s="28">
        <v>84.24</v>
      </c>
      <c r="N97" s="29">
        <v>76.7</v>
      </c>
      <c r="O97" s="32"/>
    </row>
    <row r="98" spans="1:15" ht="24" customHeight="1">
      <c r="A98" s="13">
        <v>9</v>
      </c>
      <c r="B98" s="14" t="str">
        <f t="shared" si="4"/>
        <v>20240306</v>
      </c>
      <c r="C98" s="15" t="str">
        <f>"2420101105"</f>
        <v>2420101105</v>
      </c>
      <c r="D98" s="15" t="str">
        <f>"011"</f>
        <v>011</v>
      </c>
      <c r="E98" s="15" t="str">
        <f>"05"</f>
        <v>05</v>
      </c>
      <c r="F98" s="16" t="s">
        <v>50</v>
      </c>
      <c r="G98" s="16">
        <v>91.5</v>
      </c>
      <c r="H98" s="26">
        <v>76.25</v>
      </c>
      <c r="I98" s="16">
        <v>84.5</v>
      </c>
      <c r="J98" s="26">
        <v>70.4166666666667</v>
      </c>
      <c r="K98" s="16"/>
      <c r="L98" s="27">
        <v>73.3333333333333</v>
      </c>
      <c r="M98" s="28">
        <v>81.7</v>
      </c>
      <c r="N98" s="29">
        <v>76.680000000000007</v>
      </c>
      <c r="O98" s="32"/>
    </row>
    <row r="99" spans="1:15" ht="24" customHeight="1">
      <c r="A99" s="13">
        <v>10</v>
      </c>
      <c r="B99" s="14" t="str">
        <f t="shared" si="4"/>
        <v>20240306</v>
      </c>
      <c r="C99" s="15" t="str">
        <f>"2420101006"</f>
        <v>2420101006</v>
      </c>
      <c r="D99" s="15" t="str">
        <f>"010"</f>
        <v>010</v>
      </c>
      <c r="E99" s="15" t="str">
        <f>"06"</f>
        <v>06</v>
      </c>
      <c r="F99" s="16" t="s">
        <v>50</v>
      </c>
      <c r="G99" s="16">
        <v>85</v>
      </c>
      <c r="H99" s="26">
        <v>70.8333333333333</v>
      </c>
      <c r="I99" s="16">
        <v>86</v>
      </c>
      <c r="J99" s="26">
        <v>71.6666666666667</v>
      </c>
      <c r="K99" s="16"/>
      <c r="L99" s="27">
        <v>71.25</v>
      </c>
      <c r="M99" s="28">
        <v>83.32</v>
      </c>
      <c r="N99" s="33">
        <v>76.08</v>
      </c>
      <c r="O99" s="32"/>
    </row>
    <row r="100" spans="1:15" ht="24" customHeight="1">
      <c r="A100" s="13">
        <v>11</v>
      </c>
      <c r="B100" s="14" t="str">
        <f t="shared" si="4"/>
        <v>20240306</v>
      </c>
      <c r="C100" s="15" t="str">
        <f>"2420101103"</f>
        <v>2420101103</v>
      </c>
      <c r="D100" s="15" t="str">
        <f>"011"</f>
        <v>011</v>
      </c>
      <c r="E100" s="15" t="str">
        <f>"03"</f>
        <v>03</v>
      </c>
      <c r="F100" s="16" t="s">
        <v>50</v>
      </c>
      <c r="G100" s="16">
        <v>85</v>
      </c>
      <c r="H100" s="26">
        <v>70.8333333333333</v>
      </c>
      <c r="I100" s="16">
        <v>86.5</v>
      </c>
      <c r="J100" s="26">
        <v>72.0833333333333</v>
      </c>
      <c r="K100" s="16"/>
      <c r="L100" s="27">
        <v>71.4583333333333</v>
      </c>
      <c r="M100" s="28">
        <v>82.9</v>
      </c>
      <c r="N100" s="33">
        <v>76.040000000000006</v>
      </c>
      <c r="O100" s="32"/>
    </row>
    <row r="101" spans="1:15" ht="24" customHeight="1">
      <c r="A101" s="13">
        <v>12</v>
      </c>
      <c r="B101" s="14" t="str">
        <f t="shared" si="4"/>
        <v>20240306</v>
      </c>
      <c r="C101" s="15" t="str">
        <f>"2420101203"</f>
        <v>2420101203</v>
      </c>
      <c r="D101" s="15" t="str">
        <f>"012"</f>
        <v>012</v>
      </c>
      <c r="E101" s="15" t="str">
        <f>"03"</f>
        <v>03</v>
      </c>
      <c r="F101" s="16" t="s">
        <v>50</v>
      </c>
      <c r="G101" s="16">
        <v>86.5</v>
      </c>
      <c r="H101" s="26">
        <v>72.0833333333333</v>
      </c>
      <c r="I101" s="16">
        <v>84.5</v>
      </c>
      <c r="J101" s="26">
        <v>70.4166666666667</v>
      </c>
      <c r="K101" s="16"/>
      <c r="L101" s="27">
        <v>71.25</v>
      </c>
      <c r="M101" s="28">
        <v>82.66</v>
      </c>
      <c r="N101" s="33">
        <v>75.81</v>
      </c>
      <c r="O101" s="32"/>
    </row>
    <row r="102" spans="1:15" ht="24" customHeight="1">
      <c r="A102" s="13">
        <v>13</v>
      </c>
      <c r="B102" s="14" t="str">
        <f t="shared" si="4"/>
        <v>20240306</v>
      </c>
      <c r="C102" s="15" t="str">
        <f>"2420101408"</f>
        <v>2420101408</v>
      </c>
      <c r="D102" s="15" t="str">
        <f>"014"</f>
        <v>014</v>
      </c>
      <c r="E102" s="15" t="str">
        <f>"08"</f>
        <v>08</v>
      </c>
      <c r="F102" s="16" t="s">
        <v>50</v>
      </c>
      <c r="G102" s="16">
        <v>85.5</v>
      </c>
      <c r="H102" s="26">
        <v>71.25</v>
      </c>
      <c r="I102" s="16">
        <v>85.5</v>
      </c>
      <c r="J102" s="26">
        <v>71.25</v>
      </c>
      <c r="K102" s="16"/>
      <c r="L102" s="27">
        <v>71.25</v>
      </c>
      <c r="M102" s="28">
        <v>82.6</v>
      </c>
      <c r="N102" s="33">
        <v>75.790000000000006</v>
      </c>
      <c r="O102" s="32"/>
    </row>
    <row r="103" spans="1:15" ht="24" customHeight="1">
      <c r="A103" s="13">
        <v>14</v>
      </c>
      <c r="B103" s="14" t="str">
        <f t="shared" si="4"/>
        <v>20240306</v>
      </c>
      <c r="C103" s="15" t="str">
        <f>"2420100420"</f>
        <v>2420100420</v>
      </c>
      <c r="D103" s="15" t="str">
        <f>"004"</f>
        <v>004</v>
      </c>
      <c r="E103" s="15" t="str">
        <f>"20"</f>
        <v>20</v>
      </c>
      <c r="F103" s="16" t="s">
        <v>50</v>
      </c>
      <c r="G103" s="16">
        <v>83.5</v>
      </c>
      <c r="H103" s="26">
        <v>69.5833333333333</v>
      </c>
      <c r="I103" s="16">
        <v>86.5</v>
      </c>
      <c r="J103" s="26">
        <v>72.0833333333333</v>
      </c>
      <c r="K103" s="16"/>
      <c r="L103" s="27">
        <v>70.8333333333333</v>
      </c>
      <c r="M103" s="28">
        <v>82.88</v>
      </c>
      <c r="N103" s="33">
        <v>75.650000000000006</v>
      </c>
      <c r="O103" s="32"/>
    </row>
    <row r="104" spans="1:15" ht="24" customHeight="1">
      <c r="A104" s="13">
        <v>15</v>
      </c>
      <c r="B104" s="14" t="str">
        <f t="shared" si="4"/>
        <v>20240306</v>
      </c>
      <c r="C104" s="15" t="str">
        <f>"2420101214"</f>
        <v>2420101214</v>
      </c>
      <c r="D104" s="15" t="str">
        <f>"012"</f>
        <v>012</v>
      </c>
      <c r="E104" s="15" t="str">
        <f>"14"</f>
        <v>14</v>
      </c>
      <c r="F104" s="16" t="s">
        <v>50</v>
      </c>
      <c r="G104" s="16">
        <v>88</v>
      </c>
      <c r="H104" s="26">
        <v>73.3333333333333</v>
      </c>
      <c r="I104" s="16">
        <v>80</v>
      </c>
      <c r="J104" s="26">
        <v>66.6666666666667</v>
      </c>
      <c r="K104" s="16"/>
      <c r="L104" s="27">
        <v>70</v>
      </c>
      <c r="M104" s="28">
        <v>84</v>
      </c>
      <c r="N104" s="33">
        <v>75.599999999999994</v>
      </c>
      <c r="O104" s="32"/>
    </row>
    <row r="105" spans="1:15" ht="24" customHeight="1">
      <c r="A105" s="13">
        <v>16</v>
      </c>
      <c r="B105" s="14" t="str">
        <f t="shared" si="4"/>
        <v>20240306</v>
      </c>
      <c r="C105" s="15" t="str">
        <f>"2420101418"</f>
        <v>2420101418</v>
      </c>
      <c r="D105" s="15" t="str">
        <f>"014"</f>
        <v>014</v>
      </c>
      <c r="E105" s="15" t="str">
        <f>"18"</f>
        <v>18</v>
      </c>
      <c r="F105" s="16" t="s">
        <v>50</v>
      </c>
      <c r="G105" s="16">
        <v>88.5</v>
      </c>
      <c r="H105" s="26">
        <v>73.75</v>
      </c>
      <c r="I105" s="16">
        <v>81</v>
      </c>
      <c r="J105" s="26">
        <v>67.5</v>
      </c>
      <c r="K105" s="16"/>
      <c r="L105" s="27">
        <v>70.625</v>
      </c>
      <c r="M105" s="28">
        <v>82.78</v>
      </c>
      <c r="N105" s="33">
        <v>75.489999999999995</v>
      </c>
      <c r="O105" s="32"/>
    </row>
    <row r="106" spans="1:15" ht="24" customHeight="1">
      <c r="A106" s="13">
        <v>17</v>
      </c>
      <c r="B106" s="14" t="str">
        <f t="shared" si="4"/>
        <v>20240306</v>
      </c>
      <c r="C106" s="15" t="str">
        <f>"2420100927"</f>
        <v>2420100927</v>
      </c>
      <c r="D106" s="15" t="str">
        <f>"009"</f>
        <v>009</v>
      </c>
      <c r="E106" s="15" t="str">
        <f>"27"</f>
        <v>27</v>
      </c>
      <c r="F106" s="16" t="s">
        <v>50</v>
      </c>
      <c r="G106" s="16">
        <v>83.5</v>
      </c>
      <c r="H106" s="26">
        <v>69.5833333333333</v>
      </c>
      <c r="I106" s="16">
        <v>86</v>
      </c>
      <c r="J106" s="26">
        <v>71.6666666666667</v>
      </c>
      <c r="K106" s="16"/>
      <c r="L106" s="27">
        <v>70.625</v>
      </c>
      <c r="M106" s="28">
        <v>82.34</v>
      </c>
      <c r="N106" s="33">
        <v>75.31</v>
      </c>
      <c r="O106" s="32"/>
    </row>
    <row r="107" spans="1:15" ht="24" customHeight="1">
      <c r="A107" s="13">
        <v>18</v>
      </c>
      <c r="B107" s="14" t="str">
        <f t="shared" si="4"/>
        <v>20240306</v>
      </c>
      <c r="C107" s="15" t="str">
        <f>"2420101417"</f>
        <v>2420101417</v>
      </c>
      <c r="D107" s="15" t="str">
        <f>"014"</f>
        <v>014</v>
      </c>
      <c r="E107" s="15" t="str">
        <f>"17"</f>
        <v>17</v>
      </c>
      <c r="F107" s="16" t="s">
        <v>50</v>
      </c>
      <c r="G107" s="16">
        <v>87</v>
      </c>
      <c r="H107" s="26">
        <v>72.5</v>
      </c>
      <c r="I107" s="16">
        <v>81.5</v>
      </c>
      <c r="J107" s="26">
        <v>67.9166666666667</v>
      </c>
      <c r="K107" s="16"/>
      <c r="L107" s="27">
        <v>70.2083333333333</v>
      </c>
      <c r="M107" s="28">
        <v>82.92</v>
      </c>
      <c r="N107" s="33">
        <v>75.290000000000006</v>
      </c>
      <c r="O107" s="32"/>
    </row>
    <row r="108" spans="1:15" ht="24" customHeight="1">
      <c r="A108" s="13">
        <v>19</v>
      </c>
      <c r="B108" s="14" t="s">
        <v>51</v>
      </c>
      <c r="C108" s="15" t="s">
        <v>52</v>
      </c>
      <c r="D108" s="15" t="s">
        <v>53</v>
      </c>
      <c r="E108" s="15" t="s">
        <v>54</v>
      </c>
      <c r="F108" s="16" t="s">
        <v>50</v>
      </c>
      <c r="G108" s="16">
        <v>81</v>
      </c>
      <c r="H108" s="26">
        <v>67.5</v>
      </c>
      <c r="I108" s="16">
        <v>86.5</v>
      </c>
      <c r="J108" s="26">
        <v>72.0833333333333</v>
      </c>
      <c r="K108" s="16"/>
      <c r="L108" s="27">
        <v>69.7916666666667</v>
      </c>
      <c r="M108" s="28">
        <v>83.14</v>
      </c>
      <c r="N108" s="34">
        <v>75.13</v>
      </c>
      <c r="O108" s="32"/>
    </row>
    <row r="109" spans="1:15" ht="24" customHeight="1">
      <c r="A109" s="13">
        <v>20</v>
      </c>
      <c r="B109" s="14" t="s">
        <v>51</v>
      </c>
      <c r="C109" s="15" t="s">
        <v>55</v>
      </c>
      <c r="D109" s="15" t="s">
        <v>56</v>
      </c>
      <c r="E109" s="15" t="s">
        <v>48</v>
      </c>
      <c r="F109" s="16" t="s">
        <v>50</v>
      </c>
      <c r="G109" s="16">
        <v>77.5</v>
      </c>
      <c r="H109" s="26">
        <v>64.5833333333333</v>
      </c>
      <c r="I109" s="16">
        <v>90</v>
      </c>
      <c r="J109" s="26">
        <v>75</v>
      </c>
      <c r="K109" s="16"/>
      <c r="L109" s="27">
        <v>69.7916666666667</v>
      </c>
      <c r="M109" s="28">
        <v>83</v>
      </c>
      <c r="N109" s="34">
        <v>75.08</v>
      </c>
      <c r="O109" s="32"/>
    </row>
    <row r="110" spans="1:15" ht="24" customHeight="1">
      <c r="A110" s="13">
        <v>21</v>
      </c>
      <c r="B110" s="14" t="str">
        <f>"20240306"</f>
        <v>20240306</v>
      </c>
      <c r="C110" s="15" t="str">
        <f>"2420100910"</f>
        <v>2420100910</v>
      </c>
      <c r="D110" s="15" t="str">
        <f>"009"</f>
        <v>009</v>
      </c>
      <c r="E110" s="15" t="str">
        <f>"10"</f>
        <v>10</v>
      </c>
      <c r="F110" s="16" t="s">
        <v>50</v>
      </c>
      <c r="G110" s="16">
        <v>86</v>
      </c>
      <c r="H110" s="26">
        <v>71.6666666666667</v>
      </c>
      <c r="I110" s="16">
        <v>85</v>
      </c>
      <c r="J110" s="26">
        <v>70.8333333333333</v>
      </c>
      <c r="K110" s="16"/>
      <c r="L110" s="27">
        <v>71.25</v>
      </c>
      <c r="M110" s="28">
        <v>80.22</v>
      </c>
      <c r="N110" s="33">
        <v>74.84</v>
      </c>
      <c r="O110" s="32"/>
    </row>
    <row r="111" spans="1:15" ht="24" customHeight="1">
      <c r="A111" s="13">
        <v>22</v>
      </c>
      <c r="B111" s="14" t="str">
        <f>"20240306"</f>
        <v>20240306</v>
      </c>
      <c r="C111" s="15" t="str">
        <f>"2420100217"</f>
        <v>2420100217</v>
      </c>
      <c r="D111" s="15" t="str">
        <f>"002"</f>
        <v>002</v>
      </c>
      <c r="E111" s="15" t="str">
        <f>"17"</f>
        <v>17</v>
      </c>
      <c r="F111" s="16" t="s">
        <v>50</v>
      </c>
      <c r="G111" s="16">
        <v>85</v>
      </c>
      <c r="H111" s="26">
        <v>70.8333333333333</v>
      </c>
      <c r="I111" s="16">
        <v>83</v>
      </c>
      <c r="J111" s="26">
        <v>69.1666666666667</v>
      </c>
      <c r="K111" s="16"/>
      <c r="L111" s="27">
        <v>70</v>
      </c>
      <c r="M111" s="28">
        <v>82.08</v>
      </c>
      <c r="N111" s="33">
        <v>74.83</v>
      </c>
      <c r="O111" s="32"/>
    </row>
    <row r="112" spans="1:15" ht="24" customHeight="1">
      <c r="A112" s="13">
        <v>23</v>
      </c>
      <c r="B112" s="14" t="str">
        <f>"20240306"</f>
        <v>20240306</v>
      </c>
      <c r="C112" s="15" t="str">
        <f>"2420100828"</f>
        <v>2420100828</v>
      </c>
      <c r="D112" s="15" t="str">
        <f>"008"</f>
        <v>008</v>
      </c>
      <c r="E112" s="15" t="str">
        <f>"28"</f>
        <v>28</v>
      </c>
      <c r="F112" s="16" t="s">
        <v>50</v>
      </c>
      <c r="G112" s="16">
        <v>78</v>
      </c>
      <c r="H112" s="26">
        <v>65</v>
      </c>
      <c r="I112" s="16">
        <v>90</v>
      </c>
      <c r="J112" s="26">
        <v>75</v>
      </c>
      <c r="K112" s="16"/>
      <c r="L112" s="27">
        <v>70</v>
      </c>
      <c r="M112" s="28">
        <v>81.5</v>
      </c>
      <c r="N112" s="33">
        <v>74.599999999999994</v>
      </c>
      <c r="O112" s="32"/>
    </row>
    <row r="113" spans="1:15" s="2" customFormat="1" ht="24" customHeight="1">
      <c r="A113" s="13">
        <v>24</v>
      </c>
      <c r="B113" s="15" t="s">
        <v>51</v>
      </c>
      <c r="C113" s="15" t="s">
        <v>57</v>
      </c>
      <c r="D113" s="15" t="s">
        <v>58</v>
      </c>
      <c r="E113" s="15" t="s">
        <v>40</v>
      </c>
      <c r="F113" s="16" t="s">
        <v>50</v>
      </c>
      <c r="G113" s="16">
        <v>81.5</v>
      </c>
      <c r="H113" s="26">
        <v>67.9166666666667</v>
      </c>
      <c r="I113" s="16">
        <v>85.5</v>
      </c>
      <c r="J113" s="26">
        <v>71.25</v>
      </c>
      <c r="K113" s="16"/>
      <c r="L113" s="27">
        <v>69.5833333333333</v>
      </c>
      <c r="M113" s="28">
        <v>81.62</v>
      </c>
      <c r="N113" s="34">
        <v>74.400000000000006</v>
      </c>
      <c r="O113" s="32"/>
    </row>
    <row r="114" spans="1:15" s="2" customFormat="1" ht="24" customHeight="1">
      <c r="A114" s="13">
        <v>25</v>
      </c>
      <c r="B114" s="15" t="str">
        <f>"20240306"</f>
        <v>20240306</v>
      </c>
      <c r="C114" s="15" t="str">
        <f>"2420100920"</f>
        <v>2420100920</v>
      </c>
      <c r="D114" s="15" t="str">
        <f>"009"</f>
        <v>009</v>
      </c>
      <c r="E114" s="15" t="str">
        <f>"20"</f>
        <v>20</v>
      </c>
      <c r="F114" s="16" t="s">
        <v>50</v>
      </c>
      <c r="G114" s="16">
        <v>95.5</v>
      </c>
      <c r="H114" s="26">
        <v>79.5833333333333</v>
      </c>
      <c r="I114" s="16">
        <v>79</v>
      </c>
      <c r="J114" s="26">
        <v>65.8333333333333</v>
      </c>
      <c r="K114" s="16"/>
      <c r="L114" s="27">
        <v>72.7083333333333</v>
      </c>
      <c r="M114" s="35" t="s">
        <v>27</v>
      </c>
      <c r="N114" s="29">
        <v>43.63</v>
      </c>
      <c r="O114" s="32"/>
    </row>
    <row r="115" spans="1:15" s="2" customFormat="1" ht="24" customHeight="1">
      <c r="A115" s="13">
        <v>26</v>
      </c>
      <c r="B115" s="15" t="str">
        <f>"20240306"</f>
        <v>20240306</v>
      </c>
      <c r="C115" s="15" t="str">
        <f>"2420101024"</f>
        <v>2420101024</v>
      </c>
      <c r="D115" s="15" t="str">
        <f>"010"</f>
        <v>010</v>
      </c>
      <c r="E115" s="15" t="str">
        <f>"24"</f>
        <v>24</v>
      </c>
      <c r="F115" s="16" t="s">
        <v>50</v>
      </c>
      <c r="G115" s="16">
        <v>82.5</v>
      </c>
      <c r="H115" s="26">
        <v>68.75</v>
      </c>
      <c r="I115" s="16">
        <v>86</v>
      </c>
      <c r="J115" s="26">
        <v>71.6666666666667</v>
      </c>
      <c r="K115" s="16"/>
      <c r="L115" s="27">
        <v>70.2083333333333</v>
      </c>
      <c r="M115" s="35" t="s">
        <v>27</v>
      </c>
      <c r="N115" s="33">
        <v>42.13</v>
      </c>
      <c r="O115" s="32"/>
    </row>
    <row r="116" spans="1:15" ht="24" customHeight="1">
      <c r="A116" s="9">
        <v>1</v>
      </c>
      <c r="B116" s="10" t="str">
        <f t="shared" ref="B116:B132" si="5">"20240307"</f>
        <v>20240307</v>
      </c>
      <c r="C116" s="11" t="str">
        <f>"2420101519"</f>
        <v>2420101519</v>
      </c>
      <c r="D116" s="11" t="str">
        <f>"015"</f>
        <v>015</v>
      </c>
      <c r="E116" s="11" t="str">
        <f>"19"</f>
        <v>19</v>
      </c>
      <c r="F116" s="12" t="s">
        <v>59</v>
      </c>
      <c r="G116" s="12">
        <v>93</v>
      </c>
      <c r="H116" s="20">
        <v>77.5</v>
      </c>
      <c r="I116" s="12">
        <v>94.5</v>
      </c>
      <c r="J116" s="20">
        <v>78.75</v>
      </c>
      <c r="K116" s="12"/>
      <c r="L116" s="21">
        <v>78.125</v>
      </c>
      <c r="M116" s="22">
        <v>86.22</v>
      </c>
      <c r="N116" s="36">
        <v>81.36</v>
      </c>
      <c r="O116" s="32"/>
    </row>
    <row r="117" spans="1:15" ht="24" customHeight="1">
      <c r="A117" s="9">
        <v>2</v>
      </c>
      <c r="B117" s="10" t="str">
        <f t="shared" si="5"/>
        <v>20240307</v>
      </c>
      <c r="C117" s="11" t="str">
        <f>"2420101922"</f>
        <v>2420101922</v>
      </c>
      <c r="D117" s="11" t="str">
        <f>"019"</f>
        <v>019</v>
      </c>
      <c r="E117" s="11" t="str">
        <f>"22"</f>
        <v>22</v>
      </c>
      <c r="F117" s="12" t="s">
        <v>59</v>
      </c>
      <c r="G117" s="12">
        <v>93.5</v>
      </c>
      <c r="H117" s="20">
        <v>77.9166666666667</v>
      </c>
      <c r="I117" s="12">
        <v>88</v>
      </c>
      <c r="J117" s="20">
        <v>73.3333333333333</v>
      </c>
      <c r="K117" s="12"/>
      <c r="L117" s="21">
        <v>75.625</v>
      </c>
      <c r="M117" s="22">
        <v>89.16</v>
      </c>
      <c r="N117" s="36">
        <v>81.040000000000006</v>
      </c>
      <c r="O117" s="32"/>
    </row>
    <row r="118" spans="1:15" ht="24" customHeight="1">
      <c r="A118" s="9">
        <v>3</v>
      </c>
      <c r="B118" s="10" t="str">
        <f t="shared" si="5"/>
        <v>20240307</v>
      </c>
      <c r="C118" s="11" t="str">
        <f>"2420102125"</f>
        <v>2420102125</v>
      </c>
      <c r="D118" s="11" t="str">
        <f>"021"</f>
        <v>021</v>
      </c>
      <c r="E118" s="11" t="str">
        <f>"25"</f>
        <v>25</v>
      </c>
      <c r="F118" s="12" t="s">
        <v>59</v>
      </c>
      <c r="G118" s="12">
        <v>93</v>
      </c>
      <c r="H118" s="20">
        <v>77.5</v>
      </c>
      <c r="I118" s="12">
        <v>84</v>
      </c>
      <c r="J118" s="20">
        <v>70</v>
      </c>
      <c r="K118" s="12"/>
      <c r="L118" s="21">
        <v>73.75</v>
      </c>
      <c r="M118" s="22">
        <v>86.98</v>
      </c>
      <c r="N118" s="36">
        <v>79.040000000000006</v>
      </c>
      <c r="O118" s="32"/>
    </row>
    <row r="119" spans="1:15" ht="24" customHeight="1">
      <c r="A119" s="9">
        <v>4</v>
      </c>
      <c r="B119" s="10" t="str">
        <f t="shared" si="5"/>
        <v>20240307</v>
      </c>
      <c r="C119" s="11" t="str">
        <f>"2420102029"</f>
        <v>2420102029</v>
      </c>
      <c r="D119" s="11" t="str">
        <f>"020"</f>
        <v>020</v>
      </c>
      <c r="E119" s="11" t="str">
        <f>"29"</f>
        <v>29</v>
      </c>
      <c r="F119" s="12" t="s">
        <v>59</v>
      </c>
      <c r="G119" s="12">
        <v>97.5</v>
      </c>
      <c r="H119" s="20">
        <v>81.25</v>
      </c>
      <c r="I119" s="12">
        <v>77</v>
      </c>
      <c r="J119" s="20">
        <v>64.1666666666667</v>
      </c>
      <c r="K119" s="12"/>
      <c r="L119" s="21">
        <v>72.7083333333333</v>
      </c>
      <c r="M119" s="22">
        <v>86.8</v>
      </c>
      <c r="N119" s="36">
        <v>78.349999999999994</v>
      </c>
      <c r="O119" s="32"/>
    </row>
    <row r="120" spans="1:15" ht="24" customHeight="1">
      <c r="A120" s="9">
        <v>5</v>
      </c>
      <c r="B120" s="10" t="str">
        <f t="shared" si="5"/>
        <v>20240307</v>
      </c>
      <c r="C120" s="11" t="str">
        <f>"2420101725"</f>
        <v>2420101725</v>
      </c>
      <c r="D120" s="11" t="str">
        <f>"017"</f>
        <v>017</v>
      </c>
      <c r="E120" s="11" t="str">
        <f>"25"</f>
        <v>25</v>
      </c>
      <c r="F120" s="12" t="s">
        <v>59</v>
      </c>
      <c r="G120" s="12">
        <v>91.5</v>
      </c>
      <c r="H120" s="20">
        <v>76.25</v>
      </c>
      <c r="I120" s="12">
        <v>83.5</v>
      </c>
      <c r="J120" s="20">
        <v>69.5833333333333</v>
      </c>
      <c r="K120" s="12"/>
      <c r="L120" s="21">
        <v>72.9166666666667</v>
      </c>
      <c r="M120" s="22">
        <v>86.4</v>
      </c>
      <c r="N120" s="36">
        <v>78.31</v>
      </c>
      <c r="O120" s="32"/>
    </row>
    <row r="121" spans="1:15" ht="24" customHeight="1">
      <c r="A121" s="9">
        <v>6</v>
      </c>
      <c r="B121" s="10" t="str">
        <f t="shared" si="5"/>
        <v>20240307</v>
      </c>
      <c r="C121" s="11" t="str">
        <f>"2420102021"</f>
        <v>2420102021</v>
      </c>
      <c r="D121" s="11" t="str">
        <f>"020"</f>
        <v>020</v>
      </c>
      <c r="E121" s="11" t="str">
        <f>"21"</f>
        <v>21</v>
      </c>
      <c r="F121" s="12" t="s">
        <v>59</v>
      </c>
      <c r="G121" s="12">
        <v>87.5</v>
      </c>
      <c r="H121" s="20">
        <v>72.9166666666667</v>
      </c>
      <c r="I121" s="12">
        <v>89</v>
      </c>
      <c r="J121" s="20">
        <v>74.1666666666667</v>
      </c>
      <c r="K121" s="12"/>
      <c r="L121" s="21">
        <v>73.5416666666667</v>
      </c>
      <c r="M121" s="22">
        <v>85.32</v>
      </c>
      <c r="N121" s="36">
        <v>78.25</v>
      </c>
      <c r="O121" s="32"/>
    </row>
    <row r="122" spans="1:15" ht="24" customHeight="1">
      <c r="A122" s="9">
        <v>7</v>
      </c>
      <c r="B122" s="10" t="str">
        <f t="shared" si="5"/>
        <v>20240307</v>
      </c>
      <c r="C122" s="11" t="str">
        <f>"2420101802"</f>
        <v>2420101802</v>
      </c>
      <c r="D122" s="11" t="str">
        <f>"018"</f>
        <v>018</v>
      </c>
      <c r="E122" s="11" t="str">
        <f>"02"</f>
        <v>02</v>
      </c>
      <c r="F122" s="12" t="s">
        <v>59</v>
      </c>
      <c r="G122" s="12">
        <v>86.5</v>
      </c>
      <c r="H122" s="20">
        <v>72.0833333333333</v>
      </c>
      <c r="I122" s="12">
        <v>89</v>
      </c>
      <c r="J122" s="20">
        <v>74.1666666666667</v>
      </c>
      <c r="K122" s="12"/>
      <c r="L122" s="21">
        <v>73.125</v>
      </c>
      <c r="M122" s="22">
        <v>85.32</v>
      </c>
      <c r="N122" s="36">
        <v>78</v>
      </c>
      <c r="O122" s="32"/>
    </row>
    <row r="123" spans="1:15" ht="24" customHeight="1">
      <c r="A123" s="9">
        <v>8</v>
      </c>
      <c r="B123" s="10" t="str">
        <f t="shared" si="5"/>
        <v>20240307</v>
      </c>
      <c r="C123" s="11" t="str">
        <f>"2420101629"</f>
        <v>2420101629</v>
      </c>
      <c r="D123" s="11" t="str">
        <f>"016"</f>
        <v>016</v>
      </c>
      <c r="E123" s="11" t="str">
        <f>"29"</f>
        <v>29</v>
      </c>
      <c r="F123" s="12" t="s">
        <v>59</v>
      </c>
      <c r="G123" s="12">
        <v>84</v>
      </c>
      <c r="H123" s="20">
        <v>70</v>
      </c>
      <c r="I123" s="12">
        <v>88</v>
      </c>
      <c r="J123" s="20">
        <v>73.3333333333333</v>
      </c>
      <c r="K123" s="12"/>
      <c r="L123" s="21">
        <v>71.6666666666667</v>
      </c>
      <c r="M123" s="22">
        <v>86.84</v>
      </c>
      <c r="N123" s="36">
        <v>77.739999999999995</v>
      </c>
      <c r="O123" s="32"/>
    </row>
    <row r="124" spans="1:15" ht="24" customHeight="1">
      <c r="A124" s="9">
        <v>9</v>
      </c>
      <c r="B124" s="10" t="str">
        <f t="shared" si="5"/>
        <v>20240307</v>
      </c>
      <c r="C124" s="11" t="str">
        <f>"2420102228"</f>
        <v>2420102228</v>
      </c>
      <c r="D124" s="11" t="str">
        <f>"022"</f>
        <v>022</v>
      </c>
      <c r="E124" s="11" t="str">
        <f>"28"</f>
        <v>28</v>
      </c>
      <c r="F124" s="12" t="s">
        <v>59</v>
      </c>
      <c r="G124" s="12">
        <v>84</v>
      </c>
      <c r="H124" s="20">
        <v>70</v>
      </c>
      <c r="I124" s="12">
        <v>87.5</v>
      </c>
      <c r="J124" s="20">
        <v>72.9166666666667</v>
      </c>
      <c r="K124" s="12"/>
      <c r="L124" s="21">
        <v>71.4583333333333</v>
      </c>
      <c r="M124" s="22">
        <v>85.86</v>
      </c>
      <c r="N124" s="36">
        <v>77.22</v>
      </c>
      <c r="O124" s="32"/>
    </row>
    <row r="125" spans="1:15" ht="24" customHeight="1">
      <c r="A125" s="9">
        <v>10</v>
      </c>
      <c r="B125" s="10" t="str">
        <f t="shared" si="5"/>
        <v>20240307</v>
      </c>
      <c r="C125" s="11" t="str">
        <f>"2420102222"</f>
        <v>2420102222</v>
      </c>
      <c r="D125" s="11" t="str">
        <f>"022"</f>
        <v>022</v>
      </c>
      <c r="E125" s="11" t="str">
        <f>"22"</f>
        <v>22</v>
      </c>
      <c r="F125" s="12" t="s">
        <v>59</v>
      </c>
      <c r="G125" s="12">
        <v>91.5</v>
      </c>
      <c r="H125" s="20">
        <v>76.25</v>
      </c>
      <c r="I125" s="12">
        <v>77.5</v>
      </c>
      <c r="J125" s="20">
        <v>64.5833333333333</v>
      </c>
      <c r="K125" s="12"/>
      <c r="L125" s="21">
        <v>70.4166666666667</v>
      </c>
      <c r="M125" s="22">
        <v>87</v>
      </c>
      <c r="N125" s="36">
        <v>77.05</v>
      </c>
      <c r="O125" s="32"/>
    </row>
    <row r="126" spans="1:15" ht="24" customHeight="1">
      <c r="A126" s="9">
        <v>11</v>
      </c>
      <c r="B126" s="10" t="str">
        <f t="shared" si="5"/>
        <v>20240307</v>
      </c>
      <c r="C126" s="11" t="str">
        <f>"2420102020"</f>
        <v>2420102020</v>
      </c>
      <c r="D126" s="11" t="str">
        <f>"020"</f>
        <v>020</v>
      </c>
      <c r="E126" s="11" t="str">
        <f>"20"</f>
        <v>20</v>
      </c>
      <c r="F126" s="12" t="s">
        <v>59</v>
      </c>
      <c r="G126" s="12">
        <v>88.5</v>
      </c>
      <c r="H126" s="20">
        <v>73.75</v>
      </c>
      <c r="I126" s="12">
        <v>86</v>
      </c>
      <c r="J126" s="20">
        <v>71.6666666666667</v>
      </c>
      <c r="K126" s="12"/>
      <c r="L126" s="21">
        <v>72.7083333333333</v>
      </c>
      <c r="M126" s="22">
        <v>83.2</v>
      </c>
      <c r="N126" s="36">
        <v>76.91</v>
      </c>
      <c r="O126" s="32"/>
    </row>
    <row r="127" spans="1:15" ht="24" customHeight="1">
      <c r="A127" s="9">
        <v>12</v>
      </c>
      <c r="B127" s="10" t="str">
        <f t="shared" si="5"/>
        <v>20240307</v>
      </c>
      <c r="C127" s="11" t="str">
        <f>"2420102514"</f>
        <v>2420102514</v>
      </c>
      <c r="D127" s="11" t="str">
        <f>"025"</f>
        <v>025</v>
      </c>
      <c r="E127" s="11" t="str">
        <f>"14"</f>
        <v>14</v>
      </c>
      <c r="F127" s="12" t="s">
        <v>59</v>
      </c>
      <c r="G127" s="12">
        <v>77.5</v>
      </c>
      <c r="H127" s="20">
        <v>64.5833333333333</v>
      </c>
      <c r="I127" s="12">
        <v>89.5</v>
      </c>
      <c r="J127" s="20">
        <v>74.5833333333333</v>
      </c>
      <c r="K127" s="12"/>
      <c r="L127" s="21">
        <v>69.5833333333333</v>
      </c>
      <c r="M127" s="22">
        <v>87.24</v>
      </c>
      <c r="N127" s="36">
        <v>76.650000000000006</v>
      </c>
      <c r="O127" s="32"/>
    </row>
    <row r="128" spans="1:15" ht="24" customHeight="1">
      <c r="A128" s="9">
        <v>13</v>
      </c>
      <c r="B128" s="10" t="str">
        <f t="shared" si="5"/>
        <v>20240307</v>
      </c>
      <c r="C128" s="11" t="str">
        <f>"2420102818"</f>
        <v>2420102818</v>
      </c>
      <c r="D128" s="11" t="str">
        <f>"028"</f>
        <v>028</v>
      </c>
      <c r="E128" s="11" t="str">
        <f>"18"</f>
        <v>18</v>
      </c>
      <c r="F128" s="12" t="s">
        <v>59</v>
      </c>
      <c r="G128" s="12">
        <v>85</v>
      </c>
      <c r="H128" s="20">
        <v>70.8333333333333</v>
      </c>
      <c r="I128" s="12">
        <v>83</v>
      </c>
      <c r="J128" s="20">
        <v>69.1666666666667</v>
      </c>
      <c r="K128" s="12"/>
      <c r="L128" s="21">
        <v>70</v>
      </c>
      <c r="M128" s="22">
        <v>86.26</v>
      </c>
      <c r="N128" s="36">
        <v>76.5</v>
      </c>
      <c r="O128" s="32"/>
    </row>
    <row r="129" spans="1:15" ht="24" customHeight="1">
      <c r="A129" s="9">
        <v>14</v>
      </c>
      <c r="B129" s="10" t="str">
        <f t="shared" si="5"/>
        <v>20240307</v>
      </c>
      <c r="C129" s="11" t="str">
        <f>"2420102711"</f>
        <v>2420102711</v>
      </c>
      <c r="D129" s="11" t="str">
        <f>"027"</f>
        <v>027</v>
      </c>
      <c r="E129" s="11" t="str">
        <f>"11"</f>
        <v>11</v>
      </c>
      <c r="F129" s="12" t="s">
        <v>59</v>
      </c>
      <c r="G129" s="12">
        <v>81.5</v>
      </c>
      <c r="H129" s="20">
        <v>67.9166666666667</v>
      </c>
      <c r="I129" s="12">
        <v>86.5</v>
      </c>
      <c r="J129" s="20">
        <v>72.0833333333333</v>
      </c>
      <c r="K129" s="12"/>
      <c r="L129" s="21">
        <v>70</v>
      </c>
      <c r="M129" s="22">
        <v>86.1</v>
      </c>
      <c r="N129" s="36">
        <v>76.44</v>
      </c>
      <c r="O129" s="32"/>
    </row>
    <row r="130" spans="1:15" ht="24" customHeight="1">
      <c r="A130" s="9">
        <v>15</v>
      </c>
      <c r="B130" s="10" t="str">
        <f t="shared" si="5"/>
        <v>20240307</v>
      </c>
      <c r="C130" s="11" t="str">
        <f>"2420102229"</f>
        <v>2420102229</v>
      </c>
      <c r="D130" s="11" t="str">
        <f>"022"</f>
        <v>022</v>
      </c>
      <c r="E130" s="11" t="str">
        <f>"29"</f>
        <v>29</v>
      </c>
      <c r="F130" s="12" t="s">
        <v>59</v>
      </c>
      <c r="G130" s="12">
        <v>89</v>
      </c>
      <c r="H130" s="20">
        <v>74.1666666666667</v>
      </c>
      <c r="I130" s="12">
        <v>79</v>
      </c>
      <c r="J130" s="20">
        <v>65.8333333333333</v>
      </c>
      <c r="K130" s="12"/>
      <c r="L130" s="21">
        <v>70</v>
      </c>
      <c r="M130" s="22">
        <v>86.04</v>
      </c>
      <c r="N130" s="36">
        <v>76.42</v>
      </c>
      <c r="O130" s="32"/>
    </row>
    <row r="131" spans="1:15" ht="24" customHeight="1">
      <c r="A131" s="9">
        <v>16</v>
      </c>
      <c r="B131" s="10" t="str">
        <f t="shared" si="5"/>
        <v>20240307</v>
      </c>
      <c r="C131" s="11" t="str">
        <f>"2420102026"</f>
        <v>2420102026</v>
      </c>
      <c r="D131" s="11" t="str">
        <f>"020"</f>
        <v>020</v>
      </c>
      <c r="E131" s="11" t="str">
        <f>"26"</f>
        <v>26</v>
      </c>
      <c r="F131" s="12" t="s">
        <v>59</v>
      </c>
      <c r="G131" s="12">
        <v>91</v>
      </c>
      <c r="H131" s="20">
        <v>75.8333333333333</v>
      </c>
      <c r="I131" s="12">
        <v>77</v>
      </c>
      <c r="J131" s="20">
        <v>64.1666666666667</v>
      </c>
      <c r="K131" s="12"/>
      <c r="L131" s="21">
        <v>70</v>
      </c>
      <c r="M131" s="22">
        <v>85.72</v>
      </c>
      <c r="N131" s="36">
        <v>76.290000000000006</v>
      </c>
      <c r="O131" s="32"/>
    </row>
    <row r="132" spans="1:15" ht="24" customHeight="1">
      <c r="A132" s="9">
        <v>17</v>
      </c>
      <c r="B132" s="10" t="str">
        <f t="shared" si="5"/>
        <v>20240307</v>
      </c>
      <c r="C132" s="11" t="str">
        <f>"2420101929"</f>
        <v>2420101929</v>
      </c>
      <c r="D132" s="11" t="str">
        <f>"019"</f>
        <v>019</v>
      </c>
      <c r="E132" s="11" t="str">
        <f>"29"</f>
        <v>29</v>
      </c>
      <c r="F132" s="12" t="s">
        <v>59</v>
      </c>
      <c r="G132" s="12">
        <v>89</v>
      </c>
      <c r="H132" s="20">
        <v>74.1666666666667</v>
      </c>
      <c r="I132" s="12">
        <v>79.5</v>
      </c>
      <c r="J132" s="20">
        <v>66.25</v>
      </c>
      <c r="K132" s="12"/>
      <c r="L132" s="21">
        <v>70.2083333333333</v>
      </c>
      <c r="M132" s="22">
        <v>85.38</v>
      </c>
      <c r="N132" s="36">
        <v>76.28</v>
      </c>
      <c r="O132" s="32"/>
    </row>
    <row r="133" spans="1:15" ht="24" customHeight="1">
      <c r="A133" s="9">
        <v>18</v>
      </c>
      <c r="B133" s="10" t="s">
        <v>60</v>
      </c>
      <c r="C133" s="11" t="s">
        <v>61</v>
      </c>
      <c r="D133" s="11" t="s">
        <v>62</v>
      </c>
      <c r="E133" s="11" t="s">
        <v>37</v>
      </c>
      <c r="F133" s="12" t="s">
        <v>59</v>
      </c>
      <c r="G133" s="12">
        <v>76.5</v>
      </c>
      <c r="H133" s="20">
        <v>63.75</v>
      </c>
      <c r="I133" s="12">
        <v>88</v>
      </c>
      <c r="J133" s="20">
        <v>73.3333333333333</v>
      </c>
      <c r="K133" s="12"/>
      <c r="L133" s="21">
        <v>68.5416666666667</v>
      </c>
      <c r="M133" s="22">
        <v>86.42</v>
      </c>
      <c r="N133" s="41">
        <v>75.69</v>
      </c>
      <c r="O133" s="32"/>
    </row>
    <row r="134" spans="1:15" ht="24" customHeight="1">
      <c r="A134" s="9">
        <v>19</v>
      </c>
      <c r="B134" s="10" t="str">
        <f t="shared" ref="B134:B140" si="6">"20240307"</f>
        <v>20240307</v>
      </c>
      <c r="C134" s="11" t="str">
        <f>"2420102616"</f>
        <v>2420102616</v>
      </c>
      <c r="D134" s="11" t="str">
        <f>"026"</f>
        <v>026</v>
      </c>
      <c r="E134" s="11" t="str">
        <f>"16"</f>
        <v>16</v>
      </c>
      <c r="F134" s="12" t="s">
        <v>59</v>
      </c>
      <c r="G134" s="12">
        <v>98.5</v>
      </c>
      <c r="H134" s="20">
        <v>82.0833333333333</v>
      </c>
      <c r="I134" s="12">
        <v>95.5</v>
      </c>
      <c r="J134" s="20">
        <v>79.5833333333333</v>
      </c>
      <c r="K134" s="12"/>
      <c r="L134" s="21">
        <v>80.8333333333333</v>
      </c>
      <c r="M134" s="22" t="s">
        <v>27</v>
      </c>
      <c r="N134" s="36">
        <v>48.5</v>
      </c>
      <c r="O134" s="32"/>
    </row>
    <row r="135" spans="1:15" ht="24" customHeight="1">
      <c r="A135" s="9">
        <v>20</v>
      </c>
      <c r="B135" s="10" t="str">
        <f t="shared" si="6"/>
        <v>20240307</v>
      </c>
      <c r="C135" s="11" t="str">
        <f>"2420102022"</f>
        <v>2420102022</v>
      </c>
      <c r="D135" s="11" t="str">
        <f>"020"</f>
        <v>020</v>
      </c>
      <c r="E135" s="11" t="str">
        <f>"22"</f>
        <v>22</v>
      </c>
      <c r="F135" s="12" t="s">
        <v>59</v>
      </c>
      <c r="G135" s="12">
        <v>90</v>
      </c>
      <c r="H135" s="20">
        <v>75</v>
      </c>
      <c r="I135" s="12">
        <v>88.5</v>
      </c>
      <c r="J135" s="20">
        <v>73.75</v>
      </c>
      <c r="K135" s="12"/>
      <c r="L135" s="21">
        <v>74.375</v>
      </c>
      <c r="M135" s="22" t="s">
        <v>27</v>
      </c>
      <c r="N135" s="36">
        <v>44.63</v>
      </c>
      <c r="O135" s="32"/>
    </row>
    <row r="136" spans="1:15" ht="24" customHeight="1">
      <c r="A136" s="9">
        <v>21</v>
      </c>
      <c r="B136" s="10" t="str">
        <f t="shared" si="6"/>
        <v>20240307</v>
      </c>
      <c r="C136" s="11" t="str">
        <f>"2420102127"</f>
        <v>2420102127</v>
      </c>
      <c r="D136" s="11" t="str">
        <f>"021"</f>
        <v>021</v>
      </c>
      <c r="E136" s="11" t="str">
        <f>"27"</f>
        <v>27</v>
      </c>
      <c r="F136" s="12" t="s">
        <v>59</v>
      </c>
      <c r="G136" s="12">
        <v>94</v>
      </c>
      <c r="H136" s="20">
        <v>78.3333333333333</v>
      </c>
      <c r="I136" s="12">
        <v>73.5</v>
      </c>
      <c r="J136" s="20">
        <v>61.25</v>
      </c>
      <c r="K136" s="12"/>
      <c r="L136" s="21">
        <v>69.7916666666667</v>
      </c>
      <c r="M136" s="22" t="s">
        <v>27</v>
      </c>
      <c r="N136" s="36">
        <v>41.88</v>
      </c>
      <c r="O136" s="32"/>
    </row>
    <row r="137" spans="1:15" ht="24" customHeight="1">
      <c r="A137" s="9">
        <v>22</v>
      </c>
      <c r="B137" s="10" t="str">
        <f t="shared" si="6"/>
        <v>20240307</v>
      </c>
      <c r="C137" s="11" t="str">
        <f>"2420102601"</f>
        <v>2420102601</v>
      </c>
      <c r="D137" s="11" t="str">
        <f>"026"</f>
        <v>026</v>
      </c>
      <c r="E137" s="11" t="str">
        <f>"01"</f>
        <v>01</v>
      </c>
      <c r="F137" s="12" t="s">
        <v>59</v>
      </c>
      <c r="G137" s="12">
        <v>79.5</v>
      </c>
      <c r="H137" s="20">
        <v>66.25</v>
      </c>
      <c r="I137" s="12">
        <v>87.5</v>
      </c>
      <c r="J137" s="20">
        <v>72.9166666666667</v>
      </c>
      <c r="K137" s="12"/>
      <c r="L137" s="21">
        <v>69.5833333333333</v>
      </c>
      <c r="M137" s="22" t="s">
        <v>27</v>
      </c>
      <c r="N137" s="36">
        <v>41.75</v>
      </c>
      <c r="O137" s="32"/>
    </row>
    <row r="138" spans="1:15" s="2" customFormat="1" ht="24" customHeight="1">
      <c r="A138" s="9">
        <v>23</v>
      </c>
      <c r="B138" s="11" t="str">
        <f t="shared" si="6"/>
        <v>20240307</v>
      </c>
      <c r="C138" s="11" t="str">
        <f>"2420101913"</f>
        <v>2420101913</v>
      </c>
      <c r="D138" s="11" t="str">
        <f>"019"</f>
        <v>019</v>
      </c>
      <c r="E138" s="11" t="str">
        <f>"13"</f>
        <v>13</v>
      </c>
      <c r="F138" s="12" t="s">
        <v>59</v>
      </c>
      <c r="G138" s="12">
        <v>76.5</v>
      </c>
      <c r="H138" s="20">
        <v>63.75</v>
      </c>
      <c r="I138" s="12">
        <v>89</v>
      </c>
      <c r="J138" s="20">
        <v>74.1666666666667</v>
      </c>
      <c r="K138" s="12"/>
      <c r="L138" s="21">
        <v>68.9583333333333</v>
      </c>
      <c r="M138" s="22" t="s">
        <v>27</v>
      </c>
      <c r="N138" s="36">
        <v>41.38</v>
      </c>
      <c r="O138" s="32"/>
    </row>
    <row r="139" spans="1:15" ht="24" customHeight="1">
      <c r="A139" s="9">
        <v>24</v>
      </c>
      <c r="B139" s="10" t="str">
        <f t="shared" si="6"/>
        <v>20240307</v>
      </c>
      <c r="C139" s="11" t="str">
        <f>"2420101704"</f>
        <v>2420101704</v>
      </c>
      <c r="D139" s="11" t="str">
        <f>"017"</f>
        <v>017</v>
      </c>
      <c r="E139" s="11" t="str">
        <f>"04"</f>
        <v>04</v>
      </c>
      <c r="F139" s="12" t="s">
        <v>59</v>
      </c>
      <c r="G139" s="12">
        <v>91.5</v>
      </c>
      <c r="H139" s="20">
        <v>76.25</v>
      </c>
      <c r="I139" s="12">
        <v>74</v>
      </c>
      <c r="J139" s="20">
        <v>61.6666666666667</v>
      </c>
      <c r="K139" s="12"/>
      <c r="L139" s="21">
        <v>68.9583333333333</v>
      </c>
      <c r="M139" s="22" t="s">
        <v>27</v>
      </c>
      <c r="N139" s="36">
        <v>41.38</v>
      </c>
      <c r="O139" s="32"/>
    </row>
    <row r="140" spans="1:15" ht="24" customHeight="1">
      <c r="A140" s="9">
        <v>25</v>
      </c>
      <c r="B140" s="10" t="str">
        <f t="shared" si="6"/>
        <v>20240307</v>
      </c>
      <c r="C140" s="11" t="str">
        <f>"2420101518"</f>
        <v>2420101518</v>
      </c>
      <c r="D140" s="11" t="str">
        <f>"015"</f>
        <v>015</v>
      </c>
      <c r="E140" s="11" t="str">
        <f>"18"</f>
        <v>18</v>
      </c>
      <c r="F140" s="12" t="s">
        <v>59</v>
      </c>
      <c r="G140" s="12">
        <v>99</v>
      </c>
      <c r="H140" s="20">
        <v>82.5</v>
      </c>
      <c r="I140" s="12">
        <v>66.5</v>
      </c>
      <c r="J140" s="20">
        <v>55.4166666666667</v>
      </c>
      <c r="K140" s="12"/>
      <c r="L140" s="21">
        <v>68.9583333333333</v>
      </c>
      <c r="M140" s="22" t="s">
        <v>27</v>
      </c>
      <c r="N140" s="36">
        <v>41.38</v>
      </c>
      <c r="O140" s="32"/>
    </row>
    <row r="141" spans="1:15" s="2" customFormat="1" ht="24" customHeight="1">
      <c r="A141" s="9">
        <v>26</v>
      </c>
      <c r="B141" s="11" t="s">
        <v>60</v>
      </c>
      <c r="C141" s="11" t="s">
        <v>63</v>
      </c>
      <c r="D141" s="11" t="s">
        <v>64</v>
      </c>
      <c r="E141" s="11" t="s">
        <v>65</v>
      </c>
      <c r="F141" s="12" t="s">
        <v>59</v>
      </c>
      <c r="G141" s="12">
        <v>74</v>
      </c>
      <c r="H141" s="20">
        <v>61.6666666666667</v>
      </c>
      <c r="I141" s="12">
        <v>90.5</v>
      </c>
      <c r="J141" s="20">
        <v>75.4166666666667</v>
      </c>
      <c r="K141" s="12"/>
      <c r="L141" s="21">
        <v>68.5416666666667</v>
      </c>
      <c r="M141" s="22" t="s">
        <v>27</v>
      </c>
      <c r="N141" s="41">
        <v>41.13</v>
      </c>
      <c r="O141" s="32"/>
    </row>
    <row r="142" spans="1:15" ht="24" customHeight="1">
      <c r="A142" s="37">
        <v>1</v>
      </c>
      <c r="B142" s="38" t="str">
        <f t="shared" ref="B142:B158" si="7">"20240309"</f>
        <v>20240309</v>
      </c>
      <c r="C142" s="39" t="str">
        <f>"2420104702"</f>
        <v>2420104702</v>
      </c>
      <c r="D142" s="39" t="str">
        <f>"047"</f>
        <v>047</v>
      </c>
      <c r="E142" s="39" t="str">
        <f>"02"</f>
        <v>02</v>
      </c>
      <c r="F142" s="40" t="s">
        <v>66</v>
      </c>
      <c r="G142" s="40">
        <v>102.5</v>
      </c>
      <c r="H142" s="42">
        <v>85.4166666666667</v>
      </c>
      <c r="I142" s="40">
        <v>88.2</v>
      </c>
      <c r="J142" s="42">
        <v>73.5</v>
      </c>
      <c r="K142" s="40"/>
      <c r="L142" s="43">
        <v>79.4583333333333</v>
      </c>
      <c r="M142" s="35">
        <v>91.26</v>
      </c>
      <c r="N142" s="33">
        <v>84.18</v>
      </c>
      <c r="O142" s="44"/>
    </row>
    <row r="143" spans="1:15" ht="24" customHeight="1">
      <c r="A143" s="37">
        <v>2</v>
      </c>
      <c r="B143" s="38" t="str">
        <f t="shared" si="7"/>
        <v>20240309</v>
      </c>
      <c r="C143" s="39" t="str">
        <f>"2420104420"</f>
        <v>2420104420</v>
      </c>
      <c r="D143" s="39" t="str">
        <f>"044"</f>
        <v>044</v>
      </c>
      <c r="E143" s="39" t="str">
        <f>"20"</f>
        <v>20</v>
      </c>
      <c r="F143" s="40" t="s">
        <v>66</v>
      </c>
      <c r="G143" s="40">
        <v>94</v>
      </c>
      <c r="H143" s="42">
        <v>78.3333333333333</v>
      </c>
      <c r="I143" s="40">
        <v>95.7</v>
      </c>
      <c r="J143" s="42">
        <v>79.75</v>
      </c>
      <c r="K143" s="40"/>
      <c r="L143" s="43">
        <v>79.0416666666667</v>
      </c>
      <c r="M143" s="35">
        <v>91.46</v>
      </c>
      <c r="N143" s="33">
        <v>84.01</v>
      </c>
      <c r="O143" s="44"/>
    </row>
    <row r="144" spans="1:15" ht="24" customHeight="1">
      <c r="A144" s="37">
        <v>3</v>
      </c>
      <c r="B144" s="38" t="str">
        <f t="shared" si="7"/>
        <v>20240309</v>
      </c>
      <c r="C144" s="39" t="str">
        <f>"2420104330"</f>
        <v>2420104330</v>
      </c>
      <c r="D144" s="39" t="str">
        <f>"043"</f>
        <v>043</v>
      </c>
      <c r="E144" s="39" t="str">
        <f>"30"</f>
        <v>30</v>
      </c>
      <c r="F144" s="40" t="s">
        <v>66</v>
      </c>
      <c r="G144" s="40">
        <v>87.5</v>
      </c>
      <c r="H144" s="42">
        <v>72.9166666666667</v>
      </c>
      <c r="I144" s="40">
        <v>105.8</v>
      </c>
      <c r="J144" s="42">
        <v>88.1666666666667</v>
      </c>
      <c r="K144" s="40"/>
      <c r="L144" s="43">
        <v>80.5416666666667</v>
      </c>
      <c r="M144" s="35">
        <v>86.74</v>
      </c>
      <c r="N144" s="33">
        <v>83.02</v>
      </c>
      <c r="O144" s="44"/>
    </row>
    <row r="145" spans="1:15" ht="24" customHeight="1">
      <c r="A145" s="37">
        <v>4</v>
      </c>
      <c r="B145" s="38" t="str">
        <f t="shared" si="7"/>
        <v>20240309</v>
      </c>
      <c r="C145" s="39" t="str">
        <f>"2420104724"</f>
        <v>2420104724</v>
      </c>
      <c r="D145" s="39" t="str">
        <f>"047"</f>
        <v>047</v>
      </c>
      <c r="E145" s="39" t="str">
        <f>"24"</f>
        <v>24</v>
      </c>
      <c r="F145" s="40" t="s">
        <v>66</v>
      </c>
      <c r="G145" s="40">
        <v>89</v>
      </c>
      <c r="H145" s="42">
        <v>74.1666666666667</v>
      </c>
      <c r="I145" s="40">
        <v>94.2</v>
      </c>
      <c r="J145" s="42">
        <v>78.5</v>
      </c>
      <c r="K145" s="40"/>
      <c r="L145" s="43">
        <v>76.3333333333333</v>
      </c>
      <c r="M145" s="35">
        <v>90.5</v>
      </c>
      <c r="N145" s="33">
        <v>82</v>
      </c>
      <c r="O145" s="44"/>
    </row>
    <row r="146" spans="1:15" ht="24" customHeight="1">
      <c r="A146" s="37">
        <v>5</v>
      </c>
      <c r="B146" s="38" t="str">
        <f t="shared" si="7"/>
        <v>20240309</v>
      </c>
      <c r="C146" s="39" t="str">
        <f>"2420105411"</f>
        <v>2420105411</v>
      </c>
      <c r="D146" s="39" t="str">
        <f>"054"</f>
        <v>054</v>
      </c>
      <c r="E146" s="39" t="str">
        <f>"11"</f>
        <v>11</v>
      </c>
      <c r="F146" s="40" t="s">
        <v>66</v>
      </c>
      <c r="G146" s="40">
        <v>83</v>
      </c>
      <c r="H146" s="42">
        <v>69.1666666666667</v>
      </c>
      <c r="I146" s="40">
        <v>99.9</v>
      </c>
      <c r="J146" s="42">
        <v>83.25</v>
      </c>
      <c r="K146" s="40"/>
      <c r="L146" s="43">
        <v>76.2083333333333</v>
      </c>
      <c r="M146" s="35">
        <v>90.3</v>
      </c>
      <c r="N146" s="33">
        <v>81.849999999999994</v>
      </c>
      <c r="O146" s="44"/>
    </row>
    <row r="147" spans="1:15" ht="24" customHeight="1">
      <c r="A147" s="37">
        <v>6</v>
      </c>
      <c r="B147" s="38" t="str">
        <f t="shared" si="7"/>
        <v>20240309</v>
      </c>
      <c r="C147" s="39" t="str">
        <f>"2420106005"</f>
        <v>2420106005</v>
      </c>
      <c r="D147" s="39" t="str">
        <f>"060"</f>
        <v>060</v>
      </c>
      <c r="E147" s="39" t="str">
        <f>"05"</f>
        <v>05</v>
      </c>
      <c r="F147" s="40" t="s">
        <v>66</v>
      </c>
      <c r="G147" s="40">
        <v>88.5</v>
      </c>
      <c r="H147" s="42">
        <v>73.75</v>
      </c>
      <c r="I147" s="40">
        <v>91.6</v>
      </c>
      <c r="J147" s="42">
        <v>76.3333333333333</v>
      </c>
      <c r="K147" s="40"/>
      <c r="L147" s="43">
        <v>75.0416666666667</v>
      </c>
      <c r="M147" s="35">
        <v>91.24</v>
      </c>
      <c r="N147" s="33">
        <v>81.52</v>
      </c>
      <c r="O147" s="44"/>
    </row>
    <row r="148" spans="1:15" ht="24" customHeight="1">
      <c r="A148" s="37">
        <v>7</v>
      </c>
      <c r="B148" s="38" t="str">
        <f t="shared" si="7"/>
        <v>20240309</v>
      </c>
      <c r="C148" s="39" t="str">
        <f>"2420104913"</f>
        <v>2420104913</v>
      </c>
      <c r="D148" s="39" t="str">
        <f>"049"</f>
        <v>049</v>
      </c>
      <c r="E148" s="39" t="str">
        <f>"13"</f>
        <v>13</v>
      </c>
      <c r="F148" s="40" t="s">
        <v>66</v>
      </c>
      <c r="G148" s="40">
        <v>99</v>
      </c>
      <c r="H148" s="42">
        <v>82.5</v>
      </c>
      <c r="I148" s="40">
        <v>80.400000000000006</v>
      </c>
      <c r="J148" s="42">
        <v>67</v>
      </c>
      <c r="K148" s="40"/>
      <c r="L148" s="43">
        <v>74.75</v>
      </c>
      <c r="M148" s="35">
        <v>91.5</v>
      </c>
      <c r="N148" s="33">
        <v>81.45</v>
      </c>
      <c r="O148" s="44"/>
    </row>
    <row r="149" spans="1:15" ht="24" customHeight="1">
      <c r="A149" s="37">
        <v>8</v>
      </c>
      <c r="B149" s="38" t="str">
        <f t="shared" si="7"/>
        <v>20240309</v>
      </c>
      <c r="C149" s="39" t="str">
        <f>"2420105326"</f>
        <v>2420105326</v>
      </c>
      <c r="D149" s="39" t="str">
        <f>"053"</f>
        <v>053</v>
      </c>
      <c r="E149" s="39" t="str">
        <f>"26"</f>
        <v>26</v>
      </c>
      <c r="F149" s="40" t="s">
        <v>66</v>
      </c>
      <c r="G149" s="40">
        <v>77.5</v>
      </c>
      <c r="H149" s="42">
        <v>64.5833333333333</v>
      </c>
      <c r="I149" s="40">
        <v>106.5</v>
      </c>
      <c r="J149" s="42">
        <v>88.75</v>
      </c>
      <c r="K149" s="40"/>
      <c r="L149" s="43">
        <v>76.6666666666667</v>
      </c>
      <c r="M149" s="35">
        <v>87.98</v>
      </c>
      <c r="N149" s="33">
        <v>81.19</v>
      </c>
      <c r="O149" s="44"/>
    </row>
    <row r="150" spans="1:15" ht="24" customHeight="1">
      <c r="A150" s="37">
        <v>9</v>
      </c>
      <c r="B150" s="38" t="str">
        <f t="shared" si="7"/>
        <v>20240309</v>
      </c>
      <c r="C150" s="39" t="str">
        <f>"2420104402"</f>
        <v>2420104402</v>
      </c>
      <c r="D150" s="39" t="str">
        <f>"044"</f>
        <v>044</v>
      </c>
      <c r="E150" s="39" t="str">
        <f>"02"</f>
        <v>02</v>
      </c>
      <c r="F150" s="40" t="s">
        <v>66</v>
      </c>
      <c r="G150" s="40">
        <v>88</v>
      </c>
      <c r="H150" s="42">
        <v>73.3333333333333</v>
      </c>
      <c r="I150" s="40">
        <v>95.7</v>
      </c>
      <c r="J150" s="42">
        <v>79.75</v>
      </c>
      <c r="K150" s="40"/>
      <c r="L150" s="43">
        <v>76.5416666666667</v>
      </c>
      <c r="M150" s="35">
        <v>87.8</v>
      </c>
      <c r="N150" s="33">
        <v>81.05</v>
      </c>
      <c r="O150" s="44"/>
    </row>
    <row r="151" spans="1:15" ht="24" customHeight="1">
      <c r="A151" s="37">
        <v>10</v>
      </c>
      <c r="B151" s="38" t="str">
        <f t="shared" si="7"/>
        <v>20240309</v>
      </c>
      <c r="C151" s="39" t="str">
        <f>"2420105805"</f>
        <v>2420105805</v>
      </c>
      <c r="D151" s="39" t="str">
        <f>"058"</f>
        <v>058</v>
      </c>
      <c r="E151" s="39" t="str">
        <f>"05"</f>
        <v>05</v>
      </c>
      <c r="F151" s="40" t="s">
        <v>66</v>
      </c>
      <c r="G151" s="40">
        <v>92</v>
      </c>
      <c r="H151" s="42">
        <v>76.6666666666667</v>
      </c>
      <c r="I151" s="40">
        <v>87.2</v>
      </c>
      <c r="J151" s="42">
        <v>72.6666666666667</v>
      </c>
      <c r="K151" s="40"/>
      <c r="L151" s="43">
        <v>74.6666666666667</v>
      </c>
      <c r="M151" s="35">
        <v>90.3</v>
      </c>
      <c r="N151" s="33">
        <v>80.92</v>
      </c>
      <c r="O151" s="44"/>
    </row>
    <row r="152" spans="1:15" ht="24" customHeight="1">
      <c r="A152" s="37">
        <v>11</v>
      </c>
      <c r="B152" s="38" t="str">
        <f t="shared" si="7"/>
        <v>20240309</v>
      </c>
      <c r="C152" s="39" t="str">
        <f>"2420105214"</f>
        <v>2420105214</v>
      </c>
      <c r="D152" s="39" t="str">
        <f>"052"</f>
        <v>052</v>
      </c>
      <c r="E152" s="39" t="str">
        <f>"14"</f>
        <v>14</v>
      </c>
      <c r="F152" s="40" t="s">
        <v>66</v>
      </c>
      <c r="G152" s="40">
        <v>91</v>
      </c>
      <c r="H152" s="42">
        <v>75.8333333333333</v>
      </c>
      <c r="I152" s="40">
        <v>86.4</v>
      </c>
      <c r="J152" s="42">
        <v>72</v>
      </c>
      <c r="K152" s="40"/>
      <c r="L152" s="43">
        <v>73.9166666666667</v>
      </c>
      <c r="M152" s="35">
        <v>91.18</v>
      </c>
      <c r="N152" s="33">
        <v>80.819999999999993</v>
      </c>
      <c r="O152" s="44"/>
    </row>
    <row r="153" spans="1:15" ht="24" customHeight="1">
      <c r="A153" s="37">
        <v>12</v>
      </c>
      <c r="B153" s="38" t="str">
        <f t="shared" si="7"/>
        <v>20240309</v>
      </c>
      <c r="C153" s="39" t="str">
        <f>"2420105123"</f>
        <v>2420105123</v>
      </c>
      <c r="D153" s="39" t="str">
        <f>"051"</f>
        <v>051</v>
      </c>
      <c r="E153" s="39" t="str">
        <f>"23"</f>
        <v>23</v>
      </c>
      <c r="F153" s="40" t="s">
        <v>66</v>
      </c>
      <c r="G153" s="40">
        <v>80</v>
      </c>
      <c r="H153" s="42">
        <v>66.6666666666667</v>
      </c>
      <c r="I153" s="40">
        <v>96.4</v>
      </c>
      <c r="J153" s="42">
        <v>80.3333333333333</v>
      </c>
      <c r="K153" s="40"/>
      <c r="L153" s="43">
        <v>73.5</v>
      </c>
      <c r="M153" s="35">
        <v>91.2</v>
      </c>
      <c r="N153" s="33">
        <v>80.58</v>
      </c>
      <c r="O153" s="44"/>
    </row>
    <row r="154" spans="1:15" ht="24" customHeight="1">
      <c r="A154" s="37">
        <v>13</v>
      </c>
      <c r="B154" s="38" t="str">
        <f t="shared" si="7"/>
        <v>20240309</v>
      </c>
      <c r="C154" s="39" t="str">
        <f>"2420105205"</f>
        <v>2420105205</v>
      </c>
      <c r="D154" s="39" t="str">
        <f>"052"</f>
        <v>052</v>
      </c>
      <c r="E154" s="39" t="str">
        <f>"05"</f>
        <v>05</v>
      </c>
      <c r="F154" s="40" t="s">
        <v>66</v>
      </c>
      <c r="G154" s="40">
        <v>88</v>
      </c>
      <c r="H154" s="42">
        <v>73.3333333333333</v>
      </c>
      <c r="I154" s="40">
        <v>90.9</v>
      </c>
      <c r="J154" s="42">
        <v>75.75</v>
      </c>
      <c r="K154" s="40"/>
      <c r="L154" s="43">
        <v>74.5416666666667</v>
      </c>
      <c r="M154" s="35">
        <v>89.5</v>
      </c>
      <c r="N154" s="33">
        <v>80.53</v>
      </c>
      <c r="O154" s="44"/>
    </row>
    <row r="155" spans="1:15" ht="24" customHeight="1">
      <c r="A155" s="37">
        <v>14</v>
      </c>
      <c r="B155" s="38" t="str">
        <f t="shared" si="7"/>
        <v>20240309</v>
      </c>
      <c r="C155" s="39" t="str">
        <f>"2420104511"</f>
        <v>2420104511</v>
      </c>
      <c r="D155" s="39" t="str">
        <f>"045"</f>
        <v>045</v>
      </c>
      <c r="E155" s="39" t="str">
        <f>"11"</f>
        <v>11</v>
      </c>
      <c r="F155" s="40" t="s">
        <v>66</v>
      </c>
      <c r="G155" s="40">
        <v>92.5</v>
      </c>
      <c r="H155" s="42">
        <v>77.0833333333333</v>
      </c>
      <c r="I155" s="40">
        <v>86.2</v>
      </c>
      <c r="J155" s="42">
        <v>71.8333333333333</v>
      </c>
      <c r="K155" s="40"/>
      <c r="L155" s="43">
        <v>74.4583333333333</v>
      </c>
      <c r="M155" s="35">
        <v>89.58</v>
      </c>
      <c r="N155" s="33">
        <v>80.510000000000005</v>
      </c>
      <c r="O155" s="44"/>
    </row>
    <row r="156" spans="1:15" ht="24" customHeight="1">
      <c r="A156" s="37">
        <v>15</v>
      </c>
      <c r="B156" s="38" t="str">
        <f t="shared" si="7"/>
        <v>20240309</v>
      </c>
      <c r="C156" s="39" t="str">
        <f>"2420104926"</f>
        <v>2420104926</v>
      </c>
      <c r="D156" s="39" t="str">
        <f>"049"</f>
        <v>049</v>
      </c>
      <c r="E156" s="39" t="str">
        <f>"26"</f>
        <v>26</v>
      </c>
      <c r="F156" s="40" t="s">
        <v>66</v>
      </c>
      <c r="G156" s="40">
        <v>94.5</v>
      </c>
      <c r="H156" s="42">
        <v>78.75</v>
      </c>
      <c r="I156" s="40">
        <v>81.3</v>
      </c>
      <c r="J156" s="42">
        <v>67.75</v>
      </c>
      <c r="K156" s="40"/>
      <c r="L156" s="43">
        <v>73.25</v>
      </c>
      <c r="M156" s="35">
        <v>90.98</v>
      </c>
      <c r="N156" s="33">
        <v>80.34</v>
      </c>
      <c r="O156" s="44"/>
    </row>
    <row r="157" spans="1:15" ht="24" customHeight="1">
      <c r="A157" s="37">
        <v>16</v>
      </c>
      <c r="B157" s="38" t="str">
        <f t="shared" si="7"/>
        <v>20240309</v>
      </c>
      <c r="C157" s="39" t="str">
        <f>"2420104814"</f>
        <v>2420104814</v>
      </c>
      <c r="D157" s="39" t="str">
        <f>"048"</f>
        <v>048</v>
      </c>
      <c r="E157" s="39" t="str">
        <f>"14"</f>
        <v>14</v>
      </c>
      <c r="F157" s="40" t="s">
        <v>66</v>
      </c>
      <c r="G157" s="40">
        <v>95.5</v>
      </c>
      <c r="H157" s="42">
        <v>79.5833333333333</v>
      </c>
      <c r="I157" s="40">
        <v>81.400000000000006</v>
      </c>
      <c r="J157" s="42">
        <v>67.8333333333333</v>
      </c>
      <c r="K157" s="40"/>
      <c r="L157" s="43">
        <v>73.7083333333333</v>
      </c>
      <c r="M157" s="35">
        <v>88.66</v>
      </c>
      <c r="N157" s="33">
        <v>79.69</v>
      </c>
      <c r="O157" s="44"/>
    </row>
    <row r="158" spans="1:15" ht="24" customHeight="1">
      <c r="A158" s="37">
        <v>17</v>
      </c>
      <c r="B158" s="38" t="str">
        <f t="shared" si="7"/>
        <v>20240309</v>
      </c>
      <c r="C158" s="39" t="str">
        <f>"2420105015"</f>
        <v>2420105015</v>
      </c>
      <c r="D158" s="39" t="str">
        <f>"050"</f>
        <v>050</v>
      </c>
      <c r="E158" s="39" t="str">
        <f>"15"</f>
        <v>15</v>
      </c>
      <c r="F158" s="40" t="s">
        <v>66</v>
      </c>
      <c r="G158" s="40">
        <v>77</v>
      </c>
      <c r="H158" s="42">
        <v>64.1666666666667</v>
      </c>
      <c r="I158" s="40">
        <v>97.3</v>
      </c>
      <c r="J158" s="42">
        <v>81.0833333333333</v>
      </c>
      <c r="K158" s="40"/>
      <c r="L158" s="43">
        <v>72.625</v>
      </c>
      <c r="M158" s="35">
        <v>90.16</v>
      </c>
      <c r="N158" s="33">
        <v>79.64</v>
      </c>
      <c r="O158" s="44"/>
    </row>
    <row r="159" spans="1:15" ht="24" customHeight="1">
      <c r="A159" s="37">
        <v>18</v>
      </c>
      <c r="B159" s="38" t="s">
        <v>67</v>
      </c>
      <c r="C159" s="39" t="s">
        <v>68</v>
      </c>
      <c r="D159" s="39" t="s">
        <v>69</v>
      </c>
      <c r="E159" s="39" t="s">
        <v>43</v>
      </c>
      <c r="F159" s="40" t="s">
        <v>66</v>
      </c>
      <c r="G159" s="40">
        <v>82</v>
      </c>
      <c r="H159" s="42">
        <v>68.3333333333333</v>
      </c>
      <c r="I159" s="40">
        <v>90.7</v>
      </c>
      <c r="J159" s="42">
        <v>75.5833333333333</v>
      </c>
      <c r="K159" s="40"/>
      <c r="L159" s="43">
        <v>71.9583333333333</v>
      </c>
      <c r="M159" s="35">
        <v>90.54</v>
      </c>
      <c r="N159" s="34">
        <v>79.39</v>
      </c>
      <c r="O159" s="44"/>
    </row>
    <row r="160" spans="1:15" ht="24" customHeight="1">
      <c r="A160" s="37">
        <v>19</v>
      </c>
      <c r="B160" s="38" t="s">
        <v>67</v>
      </c>
      <c r="C160" s="39" t="s">
        <v>70</v>
      </c>
      <c r="D160" s="39" t="s">
        <v>69</v>
      </c>
      <c r="E160" s="39" t="s">
        <v>71</v>
      </c>
      <c r="F160" s="40" t="s">
        <v>66</v>
      </c>
      <c r="G160" s="40">
        <v>91.5</v>
      </c>
      <c r="H160" s="42">
        <v>76.25</v>
      </c>
      <c r="I160" s="40">
        <v>81.099999999999994</v>
      </c>
      <c r="J160" s="42">
        <v>67.5833333333333</v>
      </c>
      <c r="K160" s="40"/>
      <c r="L160" s="43">
        <v>71.9166666666667</v>
      </c>
      <c r="M160" s="35">
        <v>90.6</v>
      </c>
      <c r="N160" s="34">
        <v>79.39</v>
      </c>
      <c r="O160" s="44"/>
    </row>
    <row r="161" spans="1:15" ht="24" customHeight="1">
      <c r="A161" s="37">
        <v>20</v>
      </c>
      <c r="B161" s="38" t="str">
        <f>"20240309"</f>
        <v>20240309</v>
      </c>
      <c r="C161" s="39" t="str">
        <f>"2420104822"</f>
        <v>2420104822</v>
      </c>
      <c r="D161" s="39" t="str">
        <f>"048"</f>
        <v>048</v>
      </c>
      <c r="E161" s="39" t="str">
        <f>"22"</f>
        <v>22</v>
      </c>
      <c r="F161" s="40" t="s">
        <v>66</v>
      </c>
      <c r="G161" s="40">
        <v>85.5</v>
      </c>
      <c r="H161" s="42">
        <v>71.25</v>
      </c>
      <c r="I161" s="40">
        <v>88.9</v>
      </c>
      <c r="J161" s="42">
        <v>74.0833333333333</v>
      </c>
      <c r="K161" s="40"/>
      <c r="L161" s="43">
        <v>72.6666666666667</v>
      </c>
      <c r="M161" s="35">
        <v>89.44</v>
      </c>
      <c r="N161" s="33">
        <v>79.38</v>
      </c>
      <c r="O161" s="44"/>
    </row>
    <row r="162" spans="1:15" ht="24" customHeight="1">
      <c r="A162" s="37">
        <v>21</v>
      </c>
      <c r="B162" s="38" t="str">
        <f>"20240309"</f>
        <v>20240309</v>
      </c>
      <c r="C162" s="39" t="str">
        <f>"2420105711"</f>
        <v>2420105711</v>
      </c>
      <c r="D162" s="39" t="str">
        <f>"057"</f>
        <v>057</v>
      </c>
      <c r="E162" s="39" t="str">
        <f>"11"</f>
        <v>11</v>
      </c>
      <c r="F162" s="40" t="s">
        <v>66</v>
      </c>
      <c r="G162" s="40">
        <v>80.5</v>
      </c>
      <c r="H162" s="42">
        <v>67.0833333333333</v>
      </c>
      <c r="I162" s="40">
        <v>94.6</v>
      </c>
      <c r="J162" s="42">
        <v>78.8333333333333</v>
      </c>
      <c r="K162" s="40"/>
      <c r="L162" s="43">
        <v>72.9583333333333</v>
      </c>
      <c r="M162" s="35">
        <v>88.68</v>
      </c>
      <c r="N162" s="33">
        <v>79.25</v>
      </c>
      <c r="O162" s="44"/>
    </row>
    <row r="163" spans="1:15" ht="24" customHeight="1">
      <c r="A163" s="37">
        <v>22</v>
      </c>
      <c r="B163" s="38" t="s">
        <v>67</v>
      </c>
      <c r="C163" s="39" t="s">
        <v>72</v>
      </c>
      <c r="D163" s="39" t="s">
        <v>73</v>
      </c>
      <c r="E163" s="39" t="s">
        <v>74</v>
      </c>
      <c r="F163" s="40" t="s">
        <v>66</v>
      </c>
      <c r="G163" s="40">
        <v>86</v>
      </c>
      <c r="H163" s="42">
        <v>71.6666666666667</v>
      </c>
      <c r="I163" s="40">
        <v>87.1</v>
      </c>
      <c r="J163" s="42">
        <v>72.5833333333333</v>
      </c>
      <c r="K163" s="40"/>
      <c r="L163" s="43">
        <v>72.125</v>
      </c>
      <c r="M163" s="35">
        <v>89.72</v>
      </c>
      <c r="N163" s="34">
        <v>79.16</v>
      </c>
      <c r="O163" s="44"/>
    </row>
    <row r="164" spans="1:15" ht="24" customHeight="1">
      <c r="A164" s="37">
        <v>23</v>
      </c>
      <c r="B164" s="38" t="str">
        <f>"20240309"</f>
        <v>20240309</v>
      </c>
      <c r="C164" s="39" t="str">
        <f>"2420104522"</f>
        <v>2420104522</v>
      </c>
      <c r="D164" s="39" t="str">
        <f>"045"</f>
        <v>045</v>
      </c>
      <c r="E164" s="39" t="str">
        <f>"22"</f>
        <v>22</v>
      </c>
      <c r="F164" s="40" t="s">
        <v>66</v>
      </c>
      <c r="G164" s="40">
        <v>93</v>
      </c>
      <c r="H164" s="42">
        <v>77.5</v>
      </c>
      <c r="I164" s="40">
        <v>81.099999999999994</v>
      </c>
      <c r="J164" s="42">
        <v>67.5833333333333</v>
      </c>
      <c r="K164" s="40"/>
      <c r="L164" s="43">
        <v>72.5416666666667</v>
      </c>
      <c r="M164" s="35">
        <v>88.7</v>
      </c>
      <c r="N164" s="33">
        <v>79.010000000000005</v>
      </c>
      <c r="O164" s="44"/>
    </row>
    <row r="165" spans="1:15" s="2" customFormat="1" ht="24" customHeight="1">
      <c r="A165" s="37">
        <v>24</v>
      </c>
      <c r="B165" s="38" t="s">
        <v>67</v>
      </c>
      <c r="C165" s="39" t="s">
        <v>75</v>
      </c>
      <c r="D165" s="39" t="s">
        <v>76</v>
      </c>
      <c r="E165" s="39" t="s">
        <v>77</v>
      </c>
      <c r="F165" s="40" t="s">
        <v>66</v>
      </c>
      <c r="G165" s="40">
        <v>91.5</v>
      </c>
      <c r="H165" s="42">
        <v>76.25</v>
      </c>
      <c r="I165" s="40">
        <v>81</v>
      </c>
      <c r="J165" s="42">
        <v>67.5</v>
      </c>
      <c r="K165" s="40"/>
      <c r="L165" s="43">
        <v>71.875</v>
      </c>
      <c r="M165" s="35">
        <v>88.18</v>
      </c>
      <c r="N165" s="34">
        <v>78.400000000000006</v>
      </c>
      <c r="O165" s="44"/>
    </row>
    <row r="166" spans="1:15" s="2" customFormat="1" ht="24" customHeight="1">
      <c r="A166" s="37">
        <v>25</v>
      </c>
      <c r="B166" s="39" t="str">
        <f>"20240309"</f>
        <v>20240309</v>
      </c>
      <c r="C166" s="39" t="str">
        <f>"2420105027"</f>
        <v>2420105027</v>
      </c>
      <c r="D166" s="39" t="str">
        <f>"050"</f>
        <v>050</v>
      </c>
      <c r="E166" s="39" t="str">
        <f>"27"</f>
        <v>27</v>
      </c>
      <c r="F166" s="40" t="s">
        <v>66</v>
      </c>
      <c r="G166" s="40">
        <v>92.5</v>
      </c>
      <c r="H166" s="42">
        <v>77.0833333333333</v>
      </c>
      <c r="I166" s="40">
        <v>81.3</v>
      </c>
      <c r="J166" s="42">
        <v>67.75</v>
      </c>
      <c r="K166" s="40"/>
      <c r="L166" s="43">
        <v>72.4166666666667</v>
      </c>
      <c r="M166" s="35">
        <v>86.36</v>
      </c>
      <c r="N166" s="34">
        <v>77.989999999999995</v>
      </c>
      <c r="O166" s="44"/>
    </row>
    <row r="167" spans="1:15" s="2" customFormat="1" ht="24" customHeight="1">
      <c r="A167" s="37">
        <v>26</v>
      </c>
      <c r="B167" s="39" t="str">
        <f>"20240309"</f>
        <v>20240309</v>
      </c>
      <c r="C167" s="39" t="str">
        <f>"2420105528"</f>
        <v>2420105528</v>
      </c>
      <c r="D167" s="39" t="str">
        <f>"055"</f>
        <v>055</v>
      </c>
      <c r="E167" s="39" t="str">
        <f>"28"</f>
        <v>28</v>
      </c>
      <c r="F167" s="40" t="s">
        <v>66</v>
      </c>
      <c r="G167" s="40">
        <v>77</v>
      </c>
      <c r="H167" s="42">
        <v>64.1666666666667</v>
      </c>
      <c r="I167" s="40">
        <v>97.1</v>
      </c>
      <c r="J167" s="42">
        <v>80.9166666666667</v>
      </c>
      <c r="K167" s="40"/>
      <c r="L167" s="43">
        <v>72.5416666666667</v>
      </c>
      <c r="M167" s="35">
        <v>84.98</v>
      </c>
      <c r="N167" s="33">
        <v>77.52</v>
      </c>
      <c r="O167" s="44"/>
    </row>
    <row r="168" spans="1:15" s="2" customFormat="1" ht="24" customHeight="1">
      <c r="A168" s="37">
        <v>27</v>
      </c>
      <c r="B168" s="39" t="str">
        <f>"20240309"</f>
        <v>20240309</v>
      </c>
      <c r="C168" s="39" t="str">
        <f>"2420104827"</f>
        <v>2420104827</v>
      </c>
      <c r="D168" s="39" t="str">
        <f>"048"</f>
        <v>048</v>
      </c>
      <c r="E168" s="39" t="str">
        <f>"27"</f>
        <v>27</v>
      </c>
      <c r="F168" s="40" t="s">
        <v>66</v>
      </c>
      <c r="G168" s="40">
        <v>84</v>
      </c>
      <c r="H168" s="42">
        <v>70</v>
      </c>
      <c r="I168" s="40">
        <v>100.2</v>
      </c>
      <c r="J168" s="42">
        <v>83.5</v>
      </c>
      <c r="K168" s="40"/>
      <c r="L168" s="43">
        <v>76.75</v>
      </c>
      <c r="M168" s="35" t="s">
        <v>27</v>
      </c>
      <c r="N168" s="33">
        <v>46.05</v>
      </c>
      <c r="O168" s="44"/>
    </row>
    <row r="169" spans="1:15" s="2" customFormat="1" ht="24" customHeight="1">
      <c r="A169" s="37">
        <v>28</v>
      </c>
      <c r="B169" s="39" t="str">
        <f>"20240309"</f>
        <v>20240309</v>
      </c>
      <c r="C169" s="39" t="str">
        <f>"2420105730"</f>
        <v>2420105730</v>
      </c>
      <c r="D169" s="39" t="str">
        <f>"057"</f>
        <v>057</v>
      </c>
      <c r="E169" s="39" t="str">
        <f>"30"</f>
        <v>30</v>
      </c>
      <c r="F169" s="40" t="s">
        <v>66</v>
      </c>
      <c r="G169" s="40">
        <v>82</v>
      </c>
      <c r="H169" s="42">
        <v>68.3333333333333</v>
      </c>
      <c r="I169" s="40">
        <v>100.3</v>
      </c>
      <c r="J169" s="42">
        <v>83.5833333333333</v>
      </c>
      <c r="K169" s="40"/>
      <c r="L169" s="43">
        <v>75.9583333333333</v>
      </c>
      <c r="M169" s="35" t="s">
        <v>27</v>
      </c>
      <c r="N169" s="33">
        <v>45.58</v>
      </c>
      <c r="O169" s="44"/>
    </row>
    <row r="170" spans="1:15" s="2" customFormat="1" ht="24" customHeight="1">
      <c r="A170" s="37">
        <v>29</v>
      </c>
      <c r="B170" s="39" t="s">
        <v>67</v>
      </c>
      <c r="C170" s="39" t="s">
        <v>78</v>
      </c>
      <c r="D170" s="39" t="s">
        <v>79</v>
      </c>
      <c r="E170" s="39" t="s">
        <v>80</v>
      </c>
      <c r="F170" s="40" t="s">
        <v>66</v>
      </c>
      <c r="G170" s="40">
        <v>68.5</v>
      </c>
      <c r="H170" s="42">
        <v>57.0833333333333</v>
      </c>
      <c r="I170" s="40">
        <v>104.7</v>
      </c>
      <c r="J170" s="42">
        <v>87.25</v>
      </c>
      <c r="K170" s="40"/>
      <c r="L170" s="43">
        <v>72.1666666666667</v>
      </c>
      <c r="M170" s="35" t="s">
        <v>27</v>
      </c>
      <c r="N170" s="34">
        <v>43.3</v>
      </c>
      <c r="O170" s="44"/>
    </row>
  </sheetData>
  <autoFilter ref="A1:O170">
    <extLst/>
  </autoFilter>
  <sortState ref="B142:P170">
    <sortCondition descending="1" ref="N142:N170"/>
  </sortState>
  <mergeCells count="1">
    <mergeCell ref="A1:O1"/>
  </mergeCells>
  <phoneticPr fontId="5" type="noConversion"/>
  <conditionalFormatting sqref="C62">
    <cfRule type="expression" dxfId="14" priority="13">
      <formula>AND(SUMPRODUCT(IFERROR(1*(($C$62&amp;"x")=(C62&amp;"x")),0))&gt;1,NOT(ISBLANK(C62)))</formula>
    </cfRule>
  </conditionalFormatting>
  <conditionalFormatting sqref="C76">
    <cfRule type="expression" dxfId="13" priority="1">
      <formula>AND(SUMPRODUCT(IFERROR(1*(($C$76&amp;"x")=(C76&amp;"x")),0))&gt;1,NOT(ISBLANK(C76)))</formula>
    </cfRule>
  </conditionalFormatting>
  <conditionalFormatting sqref="C2:C30">
    <cfRule type="expression" dxfId="12" priority="51">
      <formula>AND(SUMPRODUCT(IFERROR(1*(($C$2:$C$30&amp;"x")=(C2&amp;"x")),0))&gt;1,NOT(ISBLANK(C2)))</formula>
    </cfRule>
  </conditionalFormatting>
  <conditionalFormatting sqref="C31:C33">
    <cfRule type="expression" dxfId="11" priority="14">
      <formula>AND(SUMPRODUCT(IFERROR(1*(($C$31:$C$33&amp;"x")=(C31&amp;"x")),0))&gt;1,NOT(ISBLANK(C31)))</formula>
    </cfRule>
  </conditionalFormatting>
  <conditionalFormatting sqref="C34:C61">
    <cfRule type="expression" dxfId="10" priority="50">
      <formula>AND(SUMPRODUCT(IFERROR(1*(($C$34:$C$61&amp;"x")=(C34&amp;"x")),0))&gt;1,NOT(ISBLANK(C34)))</formula>
    </cfRule>
  </conditionalFormatting>
  <conditionalFormatting sqref="C63:C68">
    <cfRule type="expression" dxfId="9" priority="49">
      <formula>AND(SUMPRODUCT(IFERROR(1*(($C$63:$C$68&amp;"x")=(C63&amp;"x")),0))&gt;1,NOT(ISBLANK(C63)))</formula>
    </cfRule>
  </conditionalFormatting>
  <conditionalFormatting sqref="C69:C71">
    <cfRule type="expression" dxfId="8" priority="11">
      <formula>AND(SUMPRODUCT(IFERROR(1*(($C$69:$C$71&amp;"x")=(C69&amp;"x")),0))&gt;1,NOT(ISBLANK(C69)))</formula>
    </cfRule>
  </conditionalFormatting>
  <conditionalFormatting sqref="C72:C75">
    <cfRule type="expression" dxfId="7" priority="48">
      <formula>AND(SUMPRODUCT(IFERROR(1*(($C$72:$C$75&amp;"x")=(C72&amp;"x")),0))&gt;1,NOT(ISBLANK(C72)))</formula>
    </cfRule>
  </conditionalFormatting>
  <conditionalFormatting sqref="C77:C89">
    <cfRule type="expression" dxfId="6" priority="47">
      <formula>AND(SUMPRODUCT(IFERROR(1*(($C$77:$C$89&amp;"x")=(C77&amp;"x")),0))&gt;1,NOT(ISBLANK(C77)))</formula>
    </cfRule>
  </conditionalFormatting>
  <conditionalFormatting sqref="C90:C112">
    <cfRule type="expression" dxfId="5" priority="45">
      <formula>AND(SUMPRODUCT(IFERROR(1*(($C$90:$C$112&amp;"x")=(C90&amp;"x")),0))&gt;1,NOT(ISBLANK(C90)))</formula>
    </cfRule>
  </conditionalFormatting>
  <conditionalFormatting sqref="C113:C115">
    <cfRule type="expression" dxfId="4" priority="25">
      <formula>AND(SUMPRODUCT(IFERROR(1*(($C$113:$C$115&amp;"x")=(C113&amp;"x")),0))&gt;1,NOT(ISBLANK(C113)))</formula>
    </cfRule>
  </conditionalFormatting>
  <conditionalFormatting sqref="C142:C165">
    <cfRule type="expression" dxfId="3" priority="42">
      <formula>AND(SUMPRODUCT(IFERROR(1*(($C$142:$C$165&amp;"x")=(C142&amp;"x")),0))&gt;1,NOT(ISBLANK(C142)))</formula>
    </cfRule>
  </conditionalFormatting>
  <conditionalFormatting sqref="C166:C170">
    <cfRule type="expression" dxfId="2" priority="22">
      <formula>AND(SUMPRODUCT(IFERROR(1*(($C$166:$C$170&amp;"x")=(C166&amp;"x")),0))&gt;1,NOT(ISBLANK(C166)))</formula>
    </cfRule>
  </conditionalFormatting>
  <conditionalFormatting sqref="C141 C138">
    <cfRule type="expression" dxfId="1" priority="65">
      <formula>AND(SUMPRODUCT(IFERROR(1*(($C$138:$C$141&amp;"x")=(C138&amp;"x")),0))&gt;1,NOT(ISBLANK(C138)))</formula>
    </cfRule>
  </conditionalFormatting>
  <conditionalFormatting sqref="C116:C137 C139:C140">
    <cfRule type="expression" dxfId="0" priority="77">
      <formula>AND(SUMPRODUCT(IFERROR(1*(($C$116:$C$140&amp;"x")=(C116&amp;"x")),0))&gt;1,NOT(ISBLANK(C116)))</formula>
    </cfRule>
  </conditionalFormatting>
  <pageMargins left="0.196527777777778" right="0.23611111111111099" top="0.35416666666666702" bottom="0.51180555555555596" header="0.27500000000000002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王继刚</cp:lastModifiedBy>
  <dcterms:created xsi:type="dcterms:W3CDTF">2024-07-18T09:01:00Z</dcterms:created>
  <dcterms:modified xsi:type="dcterms:W3CDTF">2024-08-10T10:09:32Z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46D463E5100744CEA51117DC7108AF3F_13</vt:lpwstr>
  </property>
  <property fmtid="{D5CDD505-2E9C-101B-9397-08002B2CF9AE}" pid="3" name="KSOProductBuildVer">
    <vt:lpwstr>2052-12.1.0.16929</vt:lpwstr>
  </property>
</Properties>
</file>