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chengji">Sheet1!$H$2:$H$691</definedName>
    <definedName name="gangwei">Sheet1!$B$2:$B$691</definedName>
  </definedNames>
  <calcPr calcId="144525"/>
</workbook>
</file>

<file path=xl/sharedStrings.xml><?xml version="1.0" encoding="utf-8"?>
<sst xmlns="http://schemas.openxmlformats.org/spreadsheetml/2006/main" count="801" uniqueCount="16">
  <si>
    <t>海口市龙华区2024年面向社会公开招聘幼儿园教师笔试成绩表</t>
  </si>
  <si>
    <t>序号</t>
  </si>
  <si>
    <t>岗位代码</t>
  </si>
  <si>
    <t>岗位名称</t>
  </si>
  <si>
    <t>姓名</t>
  </si>
  <si>
    <t>准考证号</t>
  </si>
  <si>
    <t>考场号</t>
  </si>
  <si>
    <t>座位号</t>
  </si>
  <si>
    <t>成绩</t>
  </si>
  <si>
    <t>排名</t>
  </si>
  <si>
    <t>备注</t>
  </si>
  <si>
    <t>教师岗位1</t>
  </si>
  <si>
    <t>缺考</t>
  </si>
  <si>
    <t>教师岗位2</t>
  </si>
  <si>
    <t>教师岗位3</t>
  </si>
  <si>
    <t>实际参考人数：589人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</si>
</sst>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16" borderId="7" applyNumberFormat="0" applyAlignment="0" applyProtection="0">
      <alignment vertical="center"/>
    </xf>
    <xf numFmtId="0" fontId="21" fillId="16" borderId="4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176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3"/>
  <sheetViews>
    <sheetView tabSelected="1" workbookViewId="0">
      <selection activeCell="M11" sqref="M11"/>
    </sheetView>
  </sheetViews>
  <sheetFormatPr defaultColWidth="9" defaultRowHeight="13.5"/>
  <cols>
    <col min="1" max="1" width="5.375" style="1" customWidth="1"/>
    <col min="2" max="4" width="9" style="1"/>
    <col min="5" max="5" width="17.75" style="1" customWidth="1"/>
    <col min="6" max="7" width="7.5" style="1" customWidth="1"/>
    <col min="8" max="8" width="9" style="2"/>
    <col min="9" max="9" width="6.5" style="1" customWidth="1"/>
    <col min="10" max="10" width="6.125" style="1" customWidth="1"/>
    <col min="11" max="16384" width="9" style="1"/>
  </cols>
  <sheetData>
    <row r="1" ht="27.7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5.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</row>
    <row r="3" spans="1:10">
      <c r="A3" s="6">
        <v>1</v>
      </c>
      <c r="B3" s="6" t="str">
        <f t="shared" ref="B3:B66" si="0">"0101"</f>
        <v>0101</v>
      </c>
      <c r="C3" s="6" t="s">
        <v>11</v>
      </c>
      <c r="D3" s="6" t="str">
        <f>"蔡敏儿"</f>
        <v>蔡敏儿</v>
      </c>
      <c r="E3" s="6" t="str">
        <f>"202409210307"</f>
        <v>202409210307</v>
      </c>
      <c r="F3" s="6" t="str">
        <f>"03"</f>
        <v>03</v>
      </c>
      <c r="G3" s="6" t="str">
        <f>"07"</f>
        <v>07</v>
      </c>
      <c r="H3" s="7">
        <v>80.47</v>
      </c>
      <c r="I3" s="8">
        <v>1</v>
      </c>
      <c r="J3" s="8"/>
    </row>
    <row r="4" spans="1:10">
      <c r="A4" s="6">
        <v>2</v>
      </c>
      <c r="B4" s="6" t="str">
        <f t="shared" si="0"/>
        <v>0101</v>
      </c>
      <c r="C4" s="6" t="s">
        <v>11</v>
      </c>
      <c r="D4" s="6" t="str">
        <f>"李佳璐"</f>
        <v>李佳璐</v>
      </c>
      <c r="E4" s="6" t="str">
        <f>"202409210112"</f>
        <v>202409210112</v>
      </c>
      <c r="F4" s="6" t="str">
        <f>"01"</f>
        <v>01</v>
      </c>
      <c r="G4" s="6" t="str">
        <f>"12"</f>
        <v>12</v>
      </c>
      <c r="H4" s="7">
        <v>80.26</v>
      </c>
      <c r="I4" s="8">
        <v>2</v>
      </c>
      <c r="J4" s="8"/>
    </row>
    <row r="5" spans="1:10">
      <c r="A5" s="6">
        <v>3</v>
      </c>
      <c r="B5" s="6" t="str">
        <f t="shared" si="0"/>
        <v>0101</v>
      </c>
      <c r="C5" s="6" t="s">
        <v>11</v>
      </c>
      <c r="D5" s="6" t="str">
        <f>"陈文慧"</f>
        <v>陈文慧</v>
      </c>
      <c r="E5" s="6" t="str">
        <f>"202409210120"</f>
        <v>202409210120</v>
      </c>
      <c r="F5" s="6" t="str">
        <f>"01"</f>
        <v>01</v>
      </c>
      <c r="G5" s="6" t="str">
        <f>"20"</f>
        <v>20</v>
      </c>
      <c r="H5" s="7">
        <v>80.18</v>
      </c>
      <c r="I5" s="8">
        <v>3</v>
      </c>
      <c r="J5" s="8"/>
    </row>
    <row r="6" spans="1:10">
      <c r="A6" s="6">
        <v>4</v>
      </c>
      <c r="B6" s="6" t="str">
        <f t="shared" si="0"/>
        <v>0101</v>
      </c>
      <c r="C6" s="6" t="s">
        <v>11</v>
      </c>
      <c r="D6" s="6" t="str">
        <f>"李华欣"</f>
        <v>李华欣</v>
      </c>
      <c r="E6" s="6" t="str">
        <f>"202409210509"</f>
        <v>202409210509</v>
      </c>
      <c r="F6" s="6" t="str">
        <f>"05"</f>
        <v>05</v>
      </c>
      <c r="G6" s="6" t="str">
        <f>"09"</f>
        <v>09</v>
      </c>
      <c r="H6" s="7">
        <v>79</v>
      </c>
      <c r="I6" s="8">
        <v>4</v>
      </c>
      <c r="J6" s="8"/>
    </row>
    <row r="7" spans="1:10">
      <c r="A7" s="6">
        <v>5</v>
      </c>
      <c r="B7" s="6" t="str">
        <f t="shared" si="0"/>
        <v>0101</v>
      </c>
      <c r="C7" s="6" t="s">
        <v>11</v>
      </c>
      <c r="D7" s="6" t="str">
        <f>"王安如"</f>
        <v>王安如</v>
      </c>
      <c r="E7" s="6" t="str">
        <f>"202409210308"</f>
        <v>202409210308</v>
      </c>
      <c r="F7" s="6" t="str">
        <f>"03"</f>
        <v>03</v>
      </c>
      <c r="G7" s="6" t="str">
        <f>"08"</f>
        <v>08</v>
      </c>
      <c r="H7" s="7">
        <v>77.45</v>
      </c>
      <c r="I7" s="8">
        <v>5</v>
      </c>
      <c r="J7" s="8"/>
    </row>
    <row r="8" spans="1:10">
      <c r="A8" s="6">
        <v>6</v>
      </c>
      <c r="B8" s="6" t="str">
        <f t="shared" si="0"/>
        <v>0101</v>
      </c>
      <c r="C8" s="6" t="s">
        <v>11</v>
      </c>
      <c r="D8" s="6" t="str">
        <f>"符有倩"</f>
        <v>符有倩</v>
      </c>
      <c r="E8" s="6" t="str">
        <f>"202409210402"</f>
        <v>202409210402</v>
      </c>
      <c r="F8" s="6" t="str">
        <f>"04"</f>
        <v>04</v>
      </c>
      <c r="G8" s="6" t="str">
        <f>"02"</f>
        <v>02</v>
      </c>
      <c r="H8" s="7">
        <v>76.97</v>
      </c>
      <c r="I8" s="8">
        <v>6</v>
      </c>
      <c r="J8" s="8"/>
    </row>
    <row r="9" spans="1:10">
      <c r="A9" s="6">
        <v>7</v>
      </c>
      <c r="B9" s="6" t="str">
        <f t="shared" si="0"/>
        <v>0101</v>
      </c>
      <c r="C9" s="6" t="s">
        <v>11</v>
      </c>
      <c r="D9" s="6" t="str">
        <f>"吴健"</f>
        <v>吴健</v>
      </c>
      <c r="E9" s="6" t="str">
        <f>"202409210322"</f>
        <v>202409210322</v>
      </c>
      <c r="F9" s="6" t="str">
        <f>"03"</f>
        <v>03</v>
      </c>
      <c r="G9" s="6" t="str">
        <f>"22"</f>
        <v>22</v>
      </c>
      <c r="H9" s="7">
        <v>76.9</v>
      </c>
      <c r="I9" s="8">
        <v>7</v>
      </c>
      <c r="J9" s="8"/>
    </row>
    <row r="10" spans="1:10">
      <c r="A10" s="6">
        <v>8</v>
      </c>
      <c r="B10" s="6" t="str">
        <f t="shared" si="0"/>
        <v>0101</v>
      </c>
      <c r="C10" s="6" t="s">
        <v>11</v>
      </c>
      <c r="D10" s="6" t="str">
        <f>"麦雪虹"</f>
        <v>麦雪虹</v>
      </c>
      <c r="E10" s="6" t="str">
        <f>"202409210218"</f>
        <v>202409210218</v>
      </c>
      <c r="F10" s="6" t="str">
        <f>"02"</f>
        <v>02</v>
      </c>
      <c r="G10" s="6" t="str">
        <f>"18"</f>
        <v>18</v>
      </c>
      <c r="H10" s="7">
        <v>75.44</v>
      </c>
      <c r="I10" s="8">
        <v>8</v>
      </c>
      <c r="J10" s="8"/>
    </row>
    <row r="11" spans="1:10">
      <c r="A11" s="6">
        <v>9</v>
      </c>
      <c r="B11" s="6" t="str">
        <f t="shared" si="0"/>
        <v>0101</v>
      </c>
      <c r="C11" s="6" t="s">
        <v>11</v>
      </c>
      <c r="D11" s="6" t="str">
        <f>"林香"</f>
        <v>林香</v>
      </c>
      <c r="E11" s="6" t="str">
        <f>"202409210422"</f>
        <v>202409210422</v>
      </c>
      <c r="F11" s="6" t="str">
        <f>"04"</f>
        <v>04</v>
      </c>
      <c r="G11" s="6" t="str">
        <f>"22"</f>
        <v>22</v>
      </c>
      <c r="H11" s="7">
        <v>73.87</v>
      </c>
      <c r="I11" s="8">
        <v>9</v>
      </c>
      <c r="J11" s="8"/>
    </row>
    <row r="12" spans="1:10">
      <c r="A12" s="6">
        <v>10</v>
      </c>
      <c r="B12" s="6" t="str">
        <f t="shared" si="0"/>
        <v>0101</v>
      </c>
      <c r="C12" s="6" t="s">
        <v>11</v>
      </c>
      <c r="D12" s="6" t="str">
        <f>"刘盼"</f>
        <v>刘盼</v>
      </c>
      <c r="E12" s="6" t="str">
        <f>"202409210320"</f>
        <v>202409210320</v>
      </c>
      <c r="F12" s="6" t="str">
        <f>"03"</f>
        <v>03</v>
      </c>
      <c r="G12" s="6" t="str">
        <f>"20"</f>
        <v>20</v>
      </c>
      <c r="H12" s="7">
        <v>72.7</v>
      </c>
      <c r="I12" s="8">
        <v>10</v>
      </c>
      <c r="J12" s="8"/>
    </row>
    <row r="13" spans="1:10">
      <c r="A13" s="6">
        <v>11</v>
      </c>
      <c r="B13" s="6" t="str">
        <f t="shared" si="0"/>
        <v>0101</v>
      </c>
      <c r="C13" s="6" t="s">
        <v>11</v>
      </c>
      <c r="D13" s="6" t="str">
        <f>"陈德香"</f>
        <v>陈德香</v>
      </c>
      <c r="E13" s="6" t="str">
        <f>"202409210105"</f>
        <v>202409210105</v>
      </c>
      <c r="F13" s="6" t="str">
        <f>"01"</f>
        <v>01</v>
      </c>
      <c r="G13" s="6" t="str">
        <f>"05"</f>
        <v>05</v>
      </c>
      <c r="H13" s="7">
        <v>71.95</v>
      </c>
      <c r="I13" s="8">
        <v>11</v>
      </c>
      <c r="J13" s="8"/>
    </row>
    <row r="14" spans="1:10">
      <c r="A14" s="6">
        <v>12</v>
      </c>
      <c r="B14" s="6" t="str">
        <f t="shared" si="0"/>
        <v>0101</v>
      </c>
      <c r="C14" s="6" t="s">
        <v>11</v>
      </c>
      <c r="D14" s="6" t="str">
        <f>"陈静"</f>
        <v>陈静</v>
      </c>
      <c r="E14" s="6" t="str">
        <f>"202409210125"</f>
        <v>202409210125</v>
      </c>
      <c r="F14" s="6" t="str">
        <f>"01"</f>
        <v>01</v>
      </c>
      <c r="G14" s="6" t="str">
        <f>"25"</f>
        <v>25</v>
      </c>
      <c r="H14" s="7">
        <v>70.68</v>
      </c>
      <c r="I14" s="8">
        <v>12</v>
      </c>
      <c r="J14" s="8"/>
    </row>
    <row r="15" spans="1:10">
      <c r="A15" s="6">
        <v>13</v>
      </c>
      <c r="B15" s="6" t="str">
        <f t="shared" si="0"/>
        <v>0101</v>
      </c>
      <c r="C15" s="6" t="s">
        <v>11</v>
      </c>
      <c r="D15" s="6" t="str">
        <f>"陈吉瑜"</f>
        <v>陈吉瑜</v>
      </c>
      <c r="E15" s="6" t="str">
        <f>"202409210229"</f>
        <v>202409210229</v>
      </c>
      <c r="F15" s="6" t="str">
        <f>"02"</f>
        <v>02</v>
      </c>
      <c r="G15" s="6" t="str">
        <f>"29"</f>
        <v>29</v>
      </c>
      <c r="H15" s="7">
        <v>70.65</v>
      </c>
      <c r="I15" s="8">
        <v>13</v>
      </c>
      <c r="J15" s="8"/>
    </row>
    <row r="16" spans="1:10">
      <c r="A16" s="6">
        <v>14</v>
      </c>
      <c r="B16" s="6" t="str">
        <f t="shared" si="0"/>
        <v>0101</v>
      </c>
      <c r="C16" s="6" t="s">
        <v>11</v>
      </c>
      <c r="D16" s="6" t="str">
        <f>"张沉鱼"</f>
        <v>张沉鱼</v>
      </c>
      <c r="E16" s="6" t="str">
        <f>"202409210415"</f>
        <v>202409210415</v>
      </c>
      <c r="F16" s="6" t="str">
        <f>"04"</f>
        <v>04</v>
      </c>
      <c r="G16" s="6" t="str">
        <f>"15"</f>
        <v>15</v>
      </c>
      <c r="H16" s="7">
        <v>70.47</v>
      </c>
      <c r="I16" s="8">
        <v>14</v>
      </c>
      <c r="J16" s="8"/>
    </row>
    <row r="17" spans="1:10">
      <c r="A17" s="6">
        <v>15</v>
      </c>
      <c r="B17" s="6" t="str">
        <f t="shared" si="0"/>
        <v>0101</v>
      </c>
      <c r="C17" s="6" t="s">
        <v>11</v>
      </c>
      <c r="D17" s="6" t="str">
        <f>"宋雪琴"</f>
        <v>宋雪琴</v>
      </c>
      <c r="E17" s="6" t="str">
        <f>"202409210507"</f>
        <v>202409210507</v>
      </c>
      <c r="F17" s="6" t="str">
        <f>"05"</f>
        <v>05</v>
      </c>
      <c r="G17" s="6" t="str">
        <f>"07"</f>
        <v>07</v>
      </c>
      <c r="H17" s="7">
        <v>70.28</v>
      </c>
      <c r="I17" s="8">
        <v>15</v>
      </c>
      <c r="J17" s="8"/>
    </row>
    <row r="18" spans="1:10">
      <c r="A18" s="6">
        <v>16</v>
      </c>
      <c r="B18" s="6" t="str">
        <f t="shared" si="0"/>
        <v>0101</v>
      </c>
      <c r="C18" s="6" t="s">
        <v>11</v>
      </c>
      <c r="D18" s="6" t="str">
        <f>"郭晓红"</f>
        <v>郭晓红</v>
      </c>
      <c r="E18" s="6" t="str">
        <f>"202409210103"</f>
        <v>202409210103</v>
      </c>
      <c r="F18" s="6" t="str">
        <f>"01"</f>
        <v>01</v>
      </c>
      <c r="G18" s="6" t="str">
        <f>"03"</f>
        <v>03</v>
      </c>
      <c r="H18" s="7">
        <v>70.05</v>
      </c>
      <c r="I18" s="8">
        <v>16</v>
      </c>
      <c r="J18" s="8"/>
    </row>
    <row r="19" spans="1:10">
      <c r="A19" s="6">
        <v>17</v>
      </c>
      <c r="B19" s="6" t="str">
        <f t="shared" si="0"/>
        <v>0101</v>
      </c>
      <c r="C19" s="6" t="s">
        <v>11</v>
      </c>
      <c r="D19" s="6" t="str">
        <f>"许笑萍"</f>
        <v>许笑萍</v>
      </c>
      <c r="E19" s="6" t="str">
        <f>"202409210409"</f>
        <v>202409210409</v>
      </c>
      <c r="F19" s="6" t="str">
        <f>"04"</f>
        <v>04</v>
      </c>
      <c r="G19" s="6" t="str">
        <f>"09"</f>
        <v>09</v>
      </c>
      <c r="H19" s="7">
        <v>69.89</v>
      </c>
      <c r="I19" s="8">
        <v>17</v>
      </c>
      <c r="J19" s="8"/>
    </row>
    <row r="20" spans="1:10">
      <c r="A20" s="6">
        <v>18</v>
      </c>
      <c r="B20" s="6" t="str">
        <f t="shared" si="0"/>
        <v>0101</v>
      </c>
      <c r="C20" s="6" t="s">
        <v>11</v>
      </c>
      <c r="D20" s="6" t="str">
        <f>"吴雪霞"</f>
        <v>吴雪霞</v>
      </c>
      <c r="E20" s="6" t="str">
        <f>"202409210209"</f>
        <v>202409210209</v>
      </c>
      <c r="F20" s="6" t="str">
        <f>"02"</f>
        <v>02</v>
      </c>
      <c r="G20" s="6" t="str">
        <f>"09"</f>
        <v>09</v>
      </c>
      <c r="H20" s="7">
        <v>69.74</v>
      </c>
      <c r="I20" s="8">
        <v>18</v>
      </c>
      <c r="J20" s="8"/>
    </row>
    <row r="21" spans="1:10">
      <c r="A21" s="6">
        <v>19</v>
      </c>
      <c r="B21" s="6" t="str">
        <f t="shared" si="0"/>
        <v>0101</v>
      </c>
      <c r="C21" s="6" t="s">
        <v>11</v>
      </c>
      <c r="D21" s="6" t="str">
        <f>"赵克央"</f>
        <v>赵克央</v>
      </c>
      <c r="E21" s="6" t="str">
        <f>"202409210605"</f>
        <v>202409210605</v>
      </c>
      <c r="F21" s="6" t="str">
        <f>"06"</f>
        <v>06</v>
      </c>
      <c r="G21" s="6" t="str">
        <f>"05"</f>
        <v>05</v>
      </c>
      <c r="H21" s="7">
        <v>69.65</v>
      </c>
      <c r="I21" s="8">
        <v>19</v>
      </c>
      <c r="J21" s="8"/>
    </row>
    <row r="22" spans="1:10">
      <c r="A22" s="6">
        <v>20</v>
      </c>
      <c r="B22" s="6" t="str">
        <f t="shared" si="0"/>
        <v>0101</v>
      </c>
      <c r="C22" s="6" t="s">
        <v>11</v>
      </c>
      <c r="D22" s="6" t="str">
        <f>"胡凤怡"</f>
        <v>胡凤怡</v>
      </c>
      <c r="E22" s="6" t="str">
        <f>"202409210610"</f>
        <v>202409210610</v>
      </c>
      <c r="F22" s="6" t="str">
        <f>"06"</f>
        <v>06</v>
      </c>
      <c r="G22" s="6" t="str">
        <f>"10"</f>
        <v>10</v>
      </c>
      <c r="H22" s="7">
        <v>69.49</v>
      </c>
      <c r="I22" s="8">
        <v>20</v>
      </c>
      <c r="J22" s="8"/>
    </row>
    <row r="23" spans="1:10">
      <c r="A23" s="6">
        <v>21</v>
      </c>
      <c r="B23" s="6" t="str">
        <f t="shared" si="0"/>
        <v>0101</v>
      </c>
      <c r="C23" s="6" t="s">
        <v>11</v>
      </c>
      <c r="D23" s="6" t="str">
        <f>"刘江鹃"</f>
        <v>刘江鹃</v>
      </c>
      <c r="E23" s="6" t="str">
        <f>"202409210516"</f>
        <v>202409210516</v>
      </c>
      <c r="F23" s="6" t="str">
        <f>"05"</f>
        <v>05</v>
      </c>
      <c r="G23" s="6" t="str">
        <f>"16"</f>
        <v>16</v>
      </c>
      <c r="H23" s="7">
        <v>69.45</v>
      </c>
      <c r="I23" s="8">
        <v>21</v>
      </c>
      <c r="J23" s="8"/>
    </row>
    <row r="24" spans="1:10">
      <c r="A24" s="6">
        <v>22</v>
      </c>
      <c r="B24" s="6" t="str">
        <f t="shared" si="0"/>
        <v>0101</v>
      </c>
      <c r="C24" s="6" t="s">
        <v>11</v>
      </c>
      <c r="D24" s="6" t="str">
        <f>"洪春娃"</f>
        <v>洪春娃</v>
      </c>
      <c r="E24" s="6" t="str">
        <f>"202409210602"</f>
        <v>202409210602</v>
      </c>
      <c r="F24" s="6" t="str">
        <f>"06"</f>
        <v>06</v>
      </c>
      <c r="G24" s="6" t="str">
        <f>"02"</f>
        <v>02</v>
      </c>
      <c r="H24" s="7">
        <v>69.39</v>
      </c>
      <c r="I24" s="8">
        <v>22</v>
      </c>
      <c r="J24" s="8"/>
    </row>
    <row r="25" spans="1:10">
      <c r="A25" s="6">
        <v>23</v>
      </c>
      <c r="B25" s="6" t="str">
        <f t="shared" si="0"/>
        <v>0101</v>
      </c>
      <c r="C25" s="6" t="s">
        <v>11</v>
      </c>
      <c r="D25" s="6" t="str">
        <f>"张敢嫦"</f>
        <v>张敢嫦</v>
      </c>
      <c r="E25" s="6" t="str">
        <f>"202409210219"</f>
        <v>202409210219</v>
      </c>
      <c r="F25" s="6" t="str">
        <f>"02"</f>
        <v>02</v>
      </c>
      <c r="G25" s="6" t="str">
        <f>"19"</f>
        <v>19</v>
      </c>
      <c r="H25" s="7">
        <v>69.06</v>
      </c>
      <c r="I25" s="8">
        <v>23</v>
      </c>
      <c r="J25" s="8"/>
    </row>
    <row r="26" spans="1:10">
      <c r="A26" s="6">
        <v>24</v>
      </c>
      <c r="B26" s="6" t="str">
        <f t="shared" si="0"/>
        <v>0101</v>
      </c>
      <c r="C26" s="6" t="s">
        <v>11</v>
      </c>
      <c r="D26" s="6" t="str">
        <f>"吴春菊"</f>
        <v>吴春菊</v>
      </c>
      <c r="E26" s="6" t="str">
        <f>"202409210127"</f>
        <v>202409210127</v>
      </c>
      <c r="F26" s="6" t="str">
        <f>"01"</f>
        <v>01</v>
      </c>
      <c r="G26" s="6" t="str">
        <f>"27"</f>
        <v>27</v>
      </c>
      <c r="H26" s="7">
        <v>68.39</v>
      </c>
      <c r="I26" s="8">
        <v>24</v>
      </c>
      <c r="J26" s="8"/>
    </row>
    <row r="27" spans="1:10">
      <c r="A27" s="6">
        <v>25</v>
      </c>
      <c r="B27" s="6" t="str">
        <f t="shared" si="0"/>
        <v>0101</v>
      </c>
      <c r="C27" s="6" t="s">
        <v>11</v>
      </c>
      <c r="D27" s="6" t="str">
        <f>"曾惠芳"</f>
        <v>曾惠芳</v>
      </c>
      <c r="E27" s="6" t="str">
        <f>"202409210113"</f>
        <v>202409210113</v>
      </c>
      <c r="F27" s="6" t="str">
        <f>"01"</f>
        <v>01</v>
      </c>
      <c r="G27" s="6" t="str">
        <f>"13"</f>
        <v>13</v>
      </c>
      <c r="H27" s="7">
        <v>68.16</v>
      </c>
      <c r="I27" s="8">
        <v>25</v>
      </c>
      <c r="J27" s="8"/>
    </row>
    <row r="28" spans="1:10">
      <c r="A28" s="6">
        <v>26</v>
      </c>
      <c r="B28" s="6" t="str">
        <f t="shared" si="0"/>
        <v>0101</v>
      </c>
      <c r="C28" s="6" t="s">
        <v>11</v>
      </c>
      <c r="D28" s="6" t="str">
        <f>"廖婷婷"</f>
        <v>廖婷婷</v>
      </c>
      <c r="E28" s="6" t="str">
        <f>"202409210525"</f>
        <v>202409210525</v>
      </c>
      <c r="F28" s="6" t="str">
        <f>"05"</f>
        <v>05</v>
      </c>
      <c r="G28" s="6" t="str">
        <f>"25"</f>
        <v>25</v>
      </c>
      <c r="H28" s="7">
        <v>68.02</v>
      </c>
      <c r="I28" s="8">
        <v>26</v>
      </c>
      <c r="J28" s="8"/>
    </row>
    <row r="29" spans="1:10">
      <c r="A29" s="6">
        <v>27</v>
      </c>
      <c r="B29" s="6" t="str">
        <f t="shared" si="0"/>
        <v>0101</v>
      </c>
      <c r="C29" s="6" t="s">
        <v>11</v>
      </c>
      <c r="D29" s="6" t="str">
        <f>"陈益玲"</f>
        <v>陈益玲</v>
      </c>
      <c r="E29" s="6" t="str">
        <f>"202409210227"</f>
        <v>202409210227</v>
      </c>
      <c r="F29" s="6" t="str">
        <f>"02"</f>
        <v>02</v>
      </c>
      <c r="G29" s="6" t="str">
        <f>"27"</f>
        <v>27</v>
      </c>
      <c r="H29" s="7">
        <v>68</v>
      </c>
      <c r="I29" s="8">
        <v>27</v>
      </c>
      <c r="J29" s="8"/>
    </row>
    <row r="30" spans="1:10">
      <c r="A30" s="6">
        <v>28</v>
      </c>
      <c r="B30" s="6" t="str">
        <f t="shared" si="0"/>
        <v>0101</v>
      </c>
      <c r="C30" s="6" t="s">
        <v>11</v>
      </c>
      <c r="D30" s="6" t="str">
        <f>"王毓槐"</f>
        <v>王毓槐</v>
      </c>
      <c r="E30" s="6" t="str">
        <f>"202409210217"</f>
        <v>202409210217</v>
      </c>
      <c r="F30" s="6" t="str">
        <f>"02"</f>
        <v>02</v>
      </c>
      <c r="G30" s="6" t="str">
        <f>"17"</f>
        <v>17</v>
      </c>
      <c r="H30" s="7">
        <v>67.76</v>
      </c>
      <c r="I30" s="8">
        <v>28</v>
      </c>
      <c r="J30" s="8"/>
    </row>
    <row r="31" spans="1:10">
      <c r="A31" s="6">
        <v>29</v>
      </c>
      <c r="B31" s="6" t="str">
        <f t="shared" si="0"/>
        <v>0101</v>
      </c>
      <c r="C31" s="6" t="s">
        <v>11</v>
      </c>
      <c r="D31" s="6" t="str">
        <f>"卢秋蓉"</f>
        <v>卢秋蓉</v>
      </c>
      <c r="E31" s="6" t="str">
        <f>"202409210603"</f>
        <v>202409210603</v>
      </c>
      <c r="F31" s="6" t="str">
        <f>"06"</f>
        <v>06</v>
      </c>
      <c r="G31" s="6" t="str">
        <f>"03"</f>
        <v>03</v>
      </c>
      <c r="H31" s="7">
        <v>67.65</v>
      </c>
      <c r="I31" s="8">
        <v>29</v>
      </c>
      <c r="J31" s="8"/>
    </row>
    <row r="32" spans="1:10">
      <c r="A32" s="6">
        <v>30</v>
      </c>
      <c r="B32" s="6" t="str">
        <f t="shared" si="0"/>
        <v>0101</v>
      </c>
      <c r="C32" s="6" t="s">
        <v>11</v>
      </c>
      <c r="D32" s="6" t="str">
        <f>"李婧"</f>
        <v>李婧</v>
      </c>
      <c r="E32" s="6" t="str">
        <f>"202409210522"</f>
        <v>202409210522</v>
      </c>
      <c r="F32" s="6" t="str">
        <f>"05"</f>
        <v>05</v>
      </c>
      <c r="G32" s="6" t="str">
        <f>"22"</f>
        <v>22</v>
      </c>
      <c r="H32" s="7">
        <v>67.32</v>
      </c>
      <c r="I32" s="8">
        <v>30</v>
      </c>
      <c r="J32" s="8"/>
    </row>
    <row r="33" spans="1:10">
      <c r="A33" s="6">
        <v>31</v>
      </c>
      <c r="B33" s="6" t="str">
        <f t="shared" si="0"/>
        <v>0101</v>
      </c>
      <c r="C33" s="6" t="s">
        <v>11</v>
      </c>
      <c r="D33" s="6" t="str">
        <f>"吴佩穗"</f>
        <v>吴佩穗</v>
      </c>
      <c r="E33" s="6" t="str">
        <f>"202409210604"</f>
        <v>202409210604</v>
      </c>
      <c r="F33" s="6" t="str">
        <f>"06"</f>
        <v>06</v>
      </c>
      <c r="G33" s="6" t="str">
        <f>"04"</f>
        <v>04</v>
      </c>
      <c r="H33" s="7">
        <v>66.4</v>
      </c>
      <c r="I33" s="8">
        <v>31</v>
      </c>
      <c r="J33" s="8"/>
    </row>
    <row r="34" spans="1:10">
      <c r="A34" s="6">
        <v>32</v>
      </c>
      <c r="B34" s="6" t="str">
        <f t="shared" si="0"/>
        <v>0101</v>
      </c>
      <c r="C34" s="6" t="s">
        <v>11</v>
      </c>
      <c r="D34" s="6" t="str">
        <f>"王智莲"</f>
        <v>王智莲</v>
      </c>
      <c r="E34" s="6" t="str">
        <f>"202409210212"</f>
        <v>202409210212</v>
      </c>
      <c r="F34" s="6" t="str">
        <f>"02"</f>
        <v>02</v>
      </c>
      <c r="G34" s="6" t="str">
        <f>"12"</f>
        <v>12</v>
      </c>
      <c r="H34" s="7">
        <v>66.22</v>
      </c>
      <c r="I34" s="8">
        <v>32</v>
      </c>
      <c r="J34" s="8"/>
    </row>
    <row r="35" spans="1:10">
      <c r="A35" s="6">
        <v>33</v>
      </c>
      <c r="B35" s="6" t="str">
        <f t="shared" si="0"/>
        <v>0101</v>
      </c>
      <c r="C35" s="6" t="s">
        <v>11</v>
      </c>
      <c r="D35" s="6" t="str">
        <f>"王家怡"</f>
        <v>王家怡</v>
      </c>
      <c r="E35" s="6" t="str">
        <f>"202409210121"</f>
        <v>202409210121</v>
      </c>
      <c r="F35" s="6" t="str">
        <f>"01"</f>
        <v>01</v>
      </c>
      <c r="G35" s="6" t="str">
        <f>"21"</f>
        <v>21</v>
      </c>
      <c r="H35" s="7">
        <v>66.12</v>
      </c>
      <c r="I35" s="8">
        <v>33</v>
      </c>
      <c r="J35" s="8"/>
    </row>
    <row r="36" spans="1:10">
      <c r="A36" s="6">
        <v>34</v>
      </c>
      <c r="B36" s="6" t="str">
        <f t="shared" si="0"/>
        <v>0101</v>
      </c>
      <c r="C36" s="6" t="s">
        <v>11</v>
      </c>
      <c r="D36" s="6" t="str">
        <f>"何静"</f>
        <v>何静</v>
      </c>
      <c r="E36" s="6" t="str">
        <f>"202409210621"</f>
        <v>202409210621</v>
      </c>
      <c r="F36" s="6" t="str">
        <f>"06"</f>
        <v>06</v>
      </c>
      <c r="G36" s="6" t="str">
        <f>"21"</f>
        <v>21</v>
      </c>
      <c r="H36" s="7">
        <v>66.09</v>
      </c>
      <c r="I36" s="8">
        <v>34</v>
      </c>
      <c r="J36" s="8"/>
    </row>
    <row r="37" spans="1:10">
      <c r="A37" s="6">
        <v>35</v>
      </c>
      <c r="B37" s="6" t="str">
        <f t="shared" si="0"/>
        <v>0101</v>
      </c>
      <c r="C37" s="6" t="s">
        <v>11</v>
      </c>
      <c r="D37" s="6" t="str">
        <f>"林春霞"</f>
        <v>林春霞</v>
      </c>
      <c r="E37" s="6" t="str">
        <f>"202409210216"</f>
        <v>202409210216</v>
      </c>
      <c r="F37" s="6" t="str">
        <f>"02"</f>
        <v>02</v>
      </c>
      <c r="G37" s="6" t="str">
        <f>"16"</f>
        <v>16</v>
      </c>
      <c r="H37" s="7">
        <v>65.72</v>
      </c>
      <c r="I37" s="8">
        <v>35</v>
      </c>
      <c r="J37" s="8"/>
    </row>
    <row r="38" spans="1:10">
      <c r="A38" s="6">
        <v>36</v>
      </c>
      <c r="B38" s="6" t="str">
        <f t="shared" si="0"/>
        <v>0101</v>
      </c>
      <c r="C38" s="6" t="s">
        <v>11</v>
      </c>
      <c r="D38" s="6" t="str">
        <f>"李小乾"</f>
        <v>李小乾</v>
      </c>
      <c r="E38" s="6" t="str">
        <f>"202409210523"</f>
        <v>202409210523</v>
      </c>
      <c r="F38" s="6" t="str">
        <f>"05"</f>
        <v>05</v>
      </c>
      <c r="G38" s="6" t="str">
        <f>"23"</f>
        <v>23</v>
      </c>
      <c r="H38" s="7">
        <v>65.64</v>
      </c>
      <c r="I38" s="8">
        <v>36</v>
      </c>
      <c r="J38" s="8"/>
    </row>
    <row r="39" spans="1:10">
      <c r="A39" s="6">
        <v>37</v>
      </c>
      <c r="B39" s="6" t="str">
        <f t="shared" si="0"/>
        <v>0101</v>
      </c>
      <c r="C39" s="6" t="s">
        <v>11</v>
      </c>
      <c r="D39" s="6" t="str">
        <f>"于婷婷"</f>
        <v>于婷婷</v>
      </c>
      <c r="E39" s="6" t="str">
        <f>"202409210709"</f>
        <v>202409210709</v>
      </c>
      <c r="F39" s="6" t="str">
        <f>"07"</f>
        <v>07</v>
      </c>
      <c r="G39" s="6" t="str">
        <f>"09"</f>
        <v>09</v>
      </c>
      <c r="H39" s="7">
        <v>65.11</v>
      </c>
      <c r="I39" s="8">
        <v>37</v>
      </c>
      <c r="J39" s="8"/>
    </row>
    <row r="40" spans="1:10">
      <c r="A40" s="6">
        <v>38</v>
      </c>
      <c r="B40" s="6" t="str">
        <f t="shared" si="0"/>
        <v>0101</v>
      </c>
      <c r="C40" s="6" t="s">
        <v>11</v>
      </c>
      <c r="D40" s="6" t="str">
        <f>"文晓佳"</f>
        <v>文晓佳</v>
      </c>
      <c r="E40" s="6" t="str">
        <f>"202409210104"</f>
        <v>202409210104</v>
      </c>
      <c r="F40" s="6" t="str">
        <f>"01"</f>
        <v>01</v>
      </c>
      <c r="G40" s="6" t="str">
        <f>"04"</f>
        <v>04</v>
      </c>
      <c r="H40" s="7">
        <v>64.85</v>
      </c>
      <c r="I40" s="8">
        <v>38</v>
      </c>
      <c r="J40" s="8"/>
    </row>
    <row r="41" spans="1:10">
      <c r="A41" s="6">
        <v>39</v>
      </c>
      <c r="B41" s="6" t="str">
        <f t="shared" si="0"/>
        <v>0101</v>
      </c>
      <c r="C41" s="6" t="s">
        <v>11</v>
      </c>
      <c r="D41" s="6" t="str">
        <f>"冯琼燕"</f>
        <v>冯琼燕</v>
      </c>
      <c r="E41" s="6" t="str">
        <f>"202409210130"</f>
        <v>202409210130</v>
      </c>
      <c r="F41" s="6" t="str">
        <f>"01"</f>
        <v>01</v>
      </c>
      <c r="G41" s="6" t="str">
        <f>"30"</f>
        <v>30</v>
      </c>
      <c r="H41" s="7">
        <v>64.77</v>
      </c>
      <c r="I41" s="8">
        <v>39</v>
      </c>
      <c r="J41" s="8"/>
    </row>
    <row r="42" spans="1:10">
      <c r="A42" s="6">
        <v>40</v>
      </c>
      <c r="B42" s="6" t="str">
        <f t="shared" si="0"/>
        <v>0101</v>
      </c>
      <c r="C42" s="6" t="s">
        <v>11</v>
      </c>
      <c r="D42" s="6" t="str">
        <f>"吴清慧"</f>
        <v>吴清慧</v>
      </c>
      <c r="E42" s="6" t="str">
        <f>"202409210111"</f>
        <v>202409210111</v>
      </c>
      <c r="F42" s="6" t="str">
        <f>"01"</f>
        <v>01</v>
      </c>
      <c r="G42" s="6" t="str">
        <f>"11"</f>
        <v>11</v>
      </c>
      <c r="H42" s="7">
        <v>64.51</v>
      </c>
      <c r="I42" s="8">
        <v>40</v>
      </c>
      <c r="J42" s="8"/>
    </row>
    <row r="43" spans="1:10">
      <c r="A43" s="6">
        <v>41</v>
      </c>
      <c r="B43" s="6" t="str">
        <f t="shared" si="0"/>
        <v>0101</v>
      </c>
      <c r="C43" s="6" t="s">
        <v>11</v>
      </c>
      <c r="D43" s="6" t="str">
        <f>"陈小琪"</f>
        <v>陈小琪</v>
      </c>
      <c r="E43" s="6" t="str">
        <f>"202409210203"</f>
        <v>202409210203</v>
      </c>
      <c r="F43" s="6" t="str">
        <f>"02"</f>
        <v>02</v>
      </c>
      <c r="G43" s="6" t="str">
        <f>"03"</f>
        <v>03</v>
      </c>
      <c r="H43" s="7">
        <v>64.41</v>
      </c>
      <c r="I43" s="8">
        <v>41</v>
      </c>
      <c r="J43" s="8"/>
    </row>
    <row r="44" spans="1:10">
      <c r="A44" s="6">
        <v>42</v>
      </c>
      <c r="B44" s="6" t="str">
        <f t="shared" si="0"/>
        <v>0101</v>
      </c>
      <c r="C44" s="6" t="s">
        <v>11</v>
      </c>
      <c r="D44" s="6" t="str">
        <f>"王国郑"</f>
        <v>王国郑</v>
      </c>
      <c r="E44" s="6" t="str">
        <f>"202409210611"</f>
        <v>202409210611</v>
      </c>
      <c r="F44" s="6" t="str">
        <f>"06"</f>
        <v>06</v>
      </c>
      <c r="G44" s="6" t="str">
        <f>"11"</f>
        <v>11</v>
      </c>
      <c r="H44" s="7">
        <v>64.34</v>
      </c>
      <c r="I44" s="8">
        <v>42</v>
      </c>
      <c r="J44" s="8"/>
    </row>
    <row r="45" spans="1:10">
      <c r="A45" s="6">
        <v>43</v>
      </c>
      <c r="B45" s="6" t="str">
        <f t="shared" si="0"/>
        <v>0101</v>
      </c>
      <c r="C45" s="6" t="s">
        <v>11</v>
      </c>
      <c r="D45" s="6" t="str">
        <f>"陈丽南"</f>
        <v>陈丽南</v>
      </c>
      <c r="E45" s="6" t="str">
        <f>"202409210230"</f>
        <v>202409210230</v>
      </c>
      <c r="F45" s="6" t="str">
        <f>"02"</f>
        <v>02</v>
      </c>
      <c r="G45" s="6" t="str">
        <f>"30"</f>
        <v>30</v>
      </c>
      <c r="H45" s="7">
        <v>64.21</v>
      </c>
      <c r="I45" s="8">
        <v>43</v>
      </c>
      <c r="J45" s="8"/>
    </row>
    <row r="46" spans="1:10">
      <c r="A46" s="6">
        <v>44</v>
      </c>
      <c r="B46" s="6" t="str">
        <f t="shared" si="0"/>
        <v>0101</v>
      </c>
      <c r="C46" s="6" t="s">
        <v>11</v>
      </c>
      <c r="D46" s="6" t="str">
        <f>"陈秀霞"</f>
        <v>陈秀霞</v>
      </c>
      <c r="E46" s="6" t="str">
        <f>"202409210313"</f>
        <v>202409210313</v>
      </c>
      <c r="F46" s="6" t="str">
        <f>"03"</f>
        <v>03</v>
      </c>
      <c r="G46" s="6" t="str">
        <f>"13"</f>
        <v>13</v>
      </c>
      <c r="H46" s="7">
        <v>64.1</v>
      </c>
      <c r="I46" s="8">
        <v>44</v>
      </c>
      <c r="J46" s="8"/>
    </row>
    <row r="47" spans="1:10">
      <c r="A47" s="6">
        <v>45</v>
      </c>
      <c r="B47" s="6" t="str">
        <f t="shared" si="0"/>
        <v>0101</v>
      </c>
      <c r="C47" s="6" t="s">
        <v>11</v>
      </c>
      <c r="D47" s="6" t="str">
        <f>"梁燕"</f>
        <v>梁燕</v>
      </c>
      <c r="E47" s="6" t="str">
        <f>"202409210430"</f>
        <v>202409210430</v>
      </c>
      <c r="F47" s="6" t="str">
        <f>"04"</f>
        <v>04</v>
      </c>
      <c r="G47" s="6" t="str">
        <f>"30"</f>
        <v>30</v>
      </c>
      <c r="H47" s="7">
        <v>63.82</v>
      </c>
      <c r="I47" s="8">
        <v>45</v>
      </c>
      <c r="J47" s="8"/>
    </row>
    <row r="48" spans="1:10">
      <c r="A48" s="6">
        <v>46</v>
      </c>
      <c r="B48" s="6" t="str">
        <f t="shared" si="0"/>
        <v>0101</v>
      </c>
      <c r="C48" s="6" t="s">
        <v>11</v>
      </c>
      <c r="D48" s="6" t="str">
        <f>"符秋婷"</f>
        <v>符秋婷</v>
      </c>
      <c r="E48" s="6" t="str">
        <f>"202409210713"</f>
        <v>202409210713</v>
      </c>
      <c r="F48" s="6" t="str">
        <f>"07"</f>
        <v>07</v>
      </c>
      <c r="G48" s="6" t="str">
        <f>"13"</f>
        <v>13</v>
      </c>
      <c r="H48" s="7">
        <v>63.77</v>
      </c>
      <c r="I48" s="8">
        <v>46</v>
      </c>
      <c r="J48" s="8"/>
    </row>
    <row r="49" spans="1:10">
      <c r="A49" s="6">
        <v>47</v>
      </c>
      <c r="B49" s="6" t="str">
        <f t="shared" si="0"/>
        <v>0101</v>
      </c>
      <c r="C49" s="6" t="s">
        <v>11</v>
      </c>
      <c r="D49" s="6" t="str">
        <f>"曾学凤"</f>
        <v>曾学凤</v>
      </c>
      <c r="E49" s="6" t="str">
        <f>"202409210205"</f>
        <v>202409210205</v>
      </c>
      <c r="F49" s="6" t="str">
        <f>"02"</f>
        <v>02</v>
      </c>
      <c r="G49" s="6" t="str">
        <f>"05"</f>
        <v>05</v>
      </c>
      <c r="H49" s="7">
        <v>63.05</v>
      </c>
      <c r="I49" s="8">
        <v>47</v>
      </c>
      <c r="J49" s="8"/>
    </row>
    <row r="50" spans="1:10">
      <c r="A50" s="6">
        <v>48</v>
      </c>
      <c r="B50" s="6" t="str">
        <f t="shared" si="0"/>
        <v>0101</v>
      </c>
      <c r="C50" s="6" t="s">
        <v>11</v>
      </c>
      <c r="D50" s="6" t="str">
        <f>"吴英桃"</f>
        <v>吴英桃</v>
      </c>
      <c r="E50" s="6" t="str">
        <f>"202409210321"</f>
        <v>202409210321</v>
      </c>
      <c r="F50" s="6" t="str">
        <f>"03"</f>
        <v>03</v>
      </c>
      <c r="G50" s="6" t="str">
        <f>"21"</f>
        <v>21</v>
      </c>
      <c r="H50" s="7">
        <v>62.95</v>
      </c>
      <c r="I50" s="8">
        <v>48</v>
      </c>
      <c r="J50" s="8"/>
    </row>
    <row r="51" spans="1:10">
      <c r="A51" s="6">
        <v>49</v>
      </c>
      <c r="B51" s="6" t="str">
        <f t="shared" si="0"/>
        <v>0101</v>
      </c>
      <c r="C51" s="6" t="s">
        <v>11</v>
      </c>
      <c r="D51" s="6" t="str">
        <f>"何妮蔚"</f>
        <v>何妮蔚</v>
      </c>
      <c r="E51" s="6" t="str">
        <f>"202409210407"</f>
        <v>202409210407</v>
      </c>
      <c r="F51" s="6" t="str">
        <f>"04"</f>
        <v>04</v>
      </c>
      <c r="G51" s="6" t="str">
        <f>"07"</f>
        <v>07</v>
      </c>
      <c r="H51" s="7">
        <v>62.86</v>
      </c>
      <c r="I51" s="8">
        <v>49</v>
      </c>
      <c r="J51" s="8"/>
    </row>
    <row r="52" spans="1:10">
      <c r="A52" s="6">
        <v>50</v>
      </c>
      <c r="B52" s="6" t="str">
        <f t="shared" si="0"/>
        <v>0101</v>
      </c>
      <c r="C52" s="6" t="s">
        <v>11</v>
      </c>
      <c r="D52" s="6" t="str">
        <f>"覃艳虹"</f>
        <v>覃艳虹</v>
      </c>
      <c r="E52" s="6" t="str">
        <f>"202409210110"</f>
        <v>202409210110</v>
      </c>
      <c r="F52" s="6" t="str">
        <f>"01"</f>
        <v>01</v>
      </c>
      <c r="G52" s="6" t="str">
        <f>"10"</f>
        <v>10</v>
      </c>
      <c r="H52" s="7">
        <v>62.85</v>
      </c>
      <c r="I52" s="8">
        <v>50</v>
      </c>
      <c r="J52" s="8"/>
    </row>
    <row r="53" spans="1:10">
      <c r="A53" s="6">
        <v>51</v>
      </c>
      <c r="B53" s="6" t="str">
        <f t="shared" si="0"/>
        <v>0101</v>
      </c>
      <c r="C53" s="6" t="s">
        <v>11</v>
      </c>
      <c r="D53" s="6" t="str">
        <f>"高冬利"</f>
        <v>高冬利</v>
      </c>
      <c r="E53" s="6" t="str">
        <f>"202409210416"</f>
        <v>202409210416</v>
      </c>
      <c r="F53" s="6" t="str">
        <f>"04"</f>
        <v>04</v>
      </c>
      <c r="G53" s="6" t="str">
        <f>"16"</f>
        <v>16</v>
      </c>
      <c r="H53" s="7">
        <v>62.78</v>
      </c>
      <c r="I53" s="8">
        <v>51</v>
      </c>
      <c r="J53" s="8"/>
    </row>
    <row r="54" spans="1:10">
      <c r="A54" s="6">
        <v>52</v>
      </c>
      <c r="B54" s="6" t="str">
        <f t="shared" si="0"/>
        <v>0101</v>
      </c>
      <c r="C54" s="6" t="s">
        <v>11</v>
      </c>
      <c r="D54" s="6" t="str">
        <f>"韦天香"</f>
        <v>韦天香</v>
      </c>
      <c r="E54" s="6" t="str">
        <f>"202409210310"</f>
        <v>202409210310</v>
      </c>
      <c r="F54" s="6" t="str">
        <f>"03"</f>
        <v>03</v>
      </c>
      <c r="G54" s="6" t="str">
        <f>"10"</f>
        <v>10</v>
      </c>
      <c r="H54" s="7">
        <v>62.52</v>
      </c>
      <c r="I54" s="8">
        <v>52</v>
      </c>
      <c r="J54" s="8"/>
    </row>
    <row r="55" spans="1:10">
      <c r="A55" s="6">
        <v>53</v>
      </c>
      <c r="B55" s="6" t="str">
        <f t="shared" si="0"/>
        <v>0101</v>
      </c>
      <c r="C55" s="6" t="s">
        <v>11</v>
      </c>
      <c r="D55" s="6" t="str">
        <f>"张妍"</f>
        <v>张妍</v>
      </c>
      <c r="E55" s="6" t="str">
        <f>"202409210309"</f>
        <v>202409210309</v>
      </c>
      <c r="F55" s="6" t="str">
        <f>"03"</f>
        <v>03</v>
      </c>
      <c r="G55" s="6" t="str">
        <f>"09"</f>
        <v>09</v>
      </c>
      <c r="H55" s="7">
        <v>62.3</v>
      </c>
      <c r="I55" s="8">
        <v>53</v>
      </c>
      <c r="J55" s="8"/>
    </row>
    <row r="56" spans="1:10">
      <c r="A56" s="6">
        <v>54</v>
      </c>
      <c r="B56" s="6" t="str">
        <f t="shared" si="0"/>
        <v>0101</v>
      </c>
      <c r="C56" s="6" t="s">
        <v>11</v>
      </c>
      <c r="D56" s="6" t="str">
        <f>"陈怡君"</f>
        <v>陈怡君</v>
      </c>
      <c r="E56" s="6" t="str">
        <f>"202409210108"</f>
        <v>202409210108</v>
      </c>
      <c r="F56" s="6" t="str">
        <f>"01"</f>
        <v>01</v>
      </c>
      <c r="G56" s="6" t="str">
        <f>"08"</f>
        <v>08</v>
      </c>
      <c r="H56" s="7">
        <v>62.29</v>
      </c>
      <c r="I56" s="8">
        <v>54</v>
      </c>
      <c r="J56" s="8"/>
    </row>
    <row r="57" spans="1:10">
      <c r="A57" s="6">
        <v>55</v>
      </c>
      <c r="B57" s="6" t="str">
        <f t="shared" si="0"/>
        <v>0101</v>
      </c>
      <c r="C57" s="6" t="s">
        <v>11</v>
      </c>
      <c r="D57" s="6" t="str">
        <f>"符红霞"</f>
        <v>符红霞</v>
      </c>
      <c r="E57" s="6" t="str">
        <f>"202409210626"</f>
        <v>202409210626</v>
      </c>
      <c r="F57" s="6" t="str">
        <f>"06"</f>
        <v>06</v>
      </c>
      <c r="G57" s="6" t="str">
        <f>"26"</f>
        <v>26</v>
      </c>
      <c r="H57" s="7">
        <v>62.27</v>
      </c>
      <c r="I57" s="8">
        <v>55</v>
      </c>
      <c r="J57" s="8"/>
    </row>
    <row r="58" spans="1:10">
      <c r="A58" s="6">
        <v>56</v>
      </c>
      <c r="B58" s="6" t="str">
        <f t="shared" si="0"/>
        <v>0101</v>
      </c>
      <c r="C58" s="6" t="s">
        <v>11</v>
      </c>
      <c r="D58" s="6" t="str">
        <f>"王诗彤"</f>
        <v>王诗彤</v>
      </c>
      <c r="E58" s="6" t="str">
        <f>"202409210703"</f>
        <v>202409210703</v>
      </c>
      <c r="F58" s="6" t="str">
        <f>"07"</f>
        <v>07</v>
      </c>
      <c r="G58" s="6" t="str">
        <f>"03"</f>
        <v>03</v>
      </c>
      <c r="H58" s="7">
        <v>62.13</v>
      </c>
      <c r="I58" s="8">
        <v>56</v>
      </c>
      <c r="J58" s="8"/>
    </row>
    <row r="59" spans="1:10">
      <c r="A59" s="6">
        <v>57</v>
      </c>
      <c r="B59" s="6" t="str">
        <f t="shared" si="0"/>
        <v>0101</v>
      </c>
      <c r="C59" s="6" t="s">
        <v>11</v>
      </c>
      <c r="D59" s="6" t="str">
        <f>"陈思域"</f>
        <v>陈思域</v>
      </c>
      <c r="E59" s="6" t="str">
        <f>"202409210704"</f>
        <v>202409210704</v>
      </c>
      <c r="F59" s="6" t="str">
        <f>"07"</f>
        <v>07</v>
      </c>
      <c r="G59" s="6" t="str">
        <f>"04"</f>
        <v>04</v>
      </c>
      <c r="H59" s="7">
        <v>62.02</v>
      </c>
      <c r="I59" s="8">
        <v>57</v>
      </c>
      <c r="J59" s="8"/>
    </row>
    <row r="60" spans="1:10">
      <c r="A60" s="6">
        <v>58</v>
      </c>
      <c r="B60" s="6" t="str">
        <f t="shared" si="0"/>
        <v>0101</v>
      </c>
      <c r="C60" s="6" t="s">
        <v>11</v>
      </c>
      <c r="D60" s="6" t="str">
        <f>"陈明秀"</f>
        <v>陈明秀</v>
      </c>
      <c r="E60" s="6" t="str">
        <f>"202409210702"</f>
        <v>202409210702</v>
      </c>
      <c r="F60" s="6" t="str">
        <f>"07"</f>
        <v>07</v>
      </c>
      <c r="G60" s="6" t="str">
        <f>"02"</f>
        <v>02</v>
      </c>
      <c r="H60" s="7">
        <v>62</v>
      </c>
      <c r="I60" s="8">
        <v>58</v>
      </c>
      <c r="J60" s="8"/>
    </row>
    <row r="61" spans="1:10">
      <c r="A61" s="6">
        <v>59</v>
      </c>
      <c r="B61" s="6" t="str">
        <f t="shared" si="0"/>
        <v>0101</v>
      </c>
      <c r="C61" s="6" t="s">
        <v>11</v>
      </c>
      <c r="D61" s="6" t="str">
        <f>"王小星"</f>
        <v>王小星</v>
      </c>
      <c r="E61" s="6" t="str">
        <f>"202409210201"</f>
        <v>202409210201</v>
      </c>
      <c r="F61" s="6" t="str">
        <f>"02"</f>
        <v>02</v>
      </c>
      <c r="G61" s="6" t="str">
        <f>"01"</f>
        <v>01</v>
      </c>
      <c r="H61" s="7">
        <v>61.89</v>
      </c>
      <c r="I61" s="8">
        <v>59</v>
      </c>
      <c r="J61" s="8"/>
    </row>
    <row r="62" spans="1:10">
      <c r="A62" s="6">
        <v>60</v>
      </c>
      <c r="B62" s="6" t="str">
        <f t="shared" si="0"/>
        <v>0101</v>
      </c>
      <c r="C62" s="6" t="s">
        <v>11</v>
      </c>
      <c r="D62" s="6" t="str">
        <f>"王海坚"</f>
        <v>王海坚</v>
      </c>
      <c r="E62" s="6" t="str">
        <f>"202409210107"</f>
        <v>202409210107</v>
      </c>
      <c r="F62" s="6" t="str">
        <f>"01"</f>
        <v>01</v>
      </c>
      <c r="G62" s="6" t="str">
        <f>"07"</f>
        <v>07</v>
      </c>
      <c r="H62" s="7">
        <v>61.81</v>
      </c>
      <c r="I62" s="8">
        <v>60</v>
      </c>
      <c r="J62" s="8"/>
    </row>
    <row r="63" spans="1:10">
      <c r="A63" s="6">
        <v>61</v>
      </c>
      <c r="B63" s="6" t="str">
        <f t="shared" si="0"/>
        <v>0101</v>
      </c>
      <c r="C63" s="6" t="s">
        <v>11</v>
      </c>
      <c r="D63" s="6" t="str">
        <f>"陈琳"</f>
        <v>陈琳</v>
      </c>
      <c r="E63" s="6" t="str">
        <f>"202409210312"</f>
        <v>202409210312</v>
      </c>
      <c r="F63" s="6" t="str">
        <f>"03"</f>
        <v>03</v>
      </c>
      <c r="G63" s="6" t="str">
        <f>"12"</f>
        <v>12</v>
      </c>
      <c r="H63" s="7">
        <v>61.76</v>
      </c>
      <c r="I63" s="8">
        <v>61</v>
      </c>
      <c r="J63" s="8"/>
    </row>
    <row r="64" spans="1:10">
      <c r="A64" s="6">
        <v>62</v>
      </c>
      <c r="B64" s="6" t="str">
        <f t="shared" si="0"/>
        <v>0101</v>
      </c>
      <c r="C64" s="6" t="s">
        <v>11</v>
      </c>
      <c r="D64" s="6" t="str">
        <f>"徐卫霞"</f>
        <v>徐卫霞</v>
      </c>
      <c r="E64" s="6" t="str">
        <f>"202409210304"</f>
        <v>202409210304</v>
      </c>
      <c r="F64" s="6" t="str">
        <f>"03"</f>
        <v>03</v>
      </c>
      <c r="G64" s="6" t="str">
        <f>"04"</f>
        <v>04</v>
      </c>
      <c r="H64" s="7">
        <v>61.69</v>
      </c>
      <c r="I64" s="8">
        <v>62</v>
      </c>
      <c r="J64" s="8"/>
    </row>
    <row r="65" spans="1:10">
      <c r="A65" s="6">
        <v>63</v>
      </c>
      <c r="B65" s="6" t="str">
        <f t="shared" si="0"/>
        <v>0101</v>
      </c>
      <c r="C65" s="6" t="s">
        <v>11</v>
      </c>
      <c r="D65" s="6" t="str">
        <f>"庞建萍"</f>
        <v>庞建萍</v>
      </c>
      <c r="E65" s="6" t="str">
        <f>"202409210124"</f>
        <v>202409210124</v>
      </c>
      <c r="F65" s="6" t="str">
        <f>"01"</f>
        <v>01</v>
      </c>
      <c r="G65" s="6" t="str">
        <f>"24"</f>
        <v>24</v>
      </c>
      <c r="H65" s="7">
        <v>61.62</v>
      </c>
      <c r="I65" s="8">
        <v>63</v>
      </c>
      <c r="J65" s="8"/>
    </row>
    <row r="66" spans="1:10">
      <c r="A66" s="6">
        <v>64</v>
      </c>
      <c r="B66" s="6" t="str">
        <f t="shared" si="0"/>
        <v>0101</v>
      </c>
      <c r="C66" s="6" t="s">
        <v>11</v>
      </c>
      <c r="D66" s="6" t="str">
        <f>"王晓玉"</f>
        <v>王晓玉</v>
      </c>
      <c r="E66" s="6" t="str">
        <f>"202409210215"</f>
        <v>202409210215</v>
      </c>
      <c r="F66" s="6" t="str">
        <f>"02"</f>
        <v>02</v>
      </c>
      <c r="G66" s="6" t="str">
        <f>"15"</f>
        <v>15</v>
      </c>
      <c r="H66" s="7">
        <v>61.61</v>
      </c>
      <c r="I66" s="8">
        <v>64</v>
      </c>
      <c r="J66" s="8"/>
    </row>
    <row r="67" spans="1:10">
      <c r="A67" s="6">
        <v>65</v>
      </c>
      <c r="B67" s="6" t="str">
        <f t="shared" ref="B67:B130" si="1">"0101"</f>
        <v>0101</v>
      </c>
      <c r="C67" s="6" t="s">
        <v>11</v>
      </c>
      <c r="D67" s="6" t="str">
        <f>"林花玉"</f>
        <v>林花玉</v>
      </c>
      <c r="E67" s="6" t="str">
        <f>"202409210123"</f>
        <v>202409210123</v>
      </c>
      <c r="F67" s="6" t="str">
        <f>"01"</f>
        <v>01</v>
      </c>
      <c r="G67" s="6" t="str">
        <f>"23"</f>
        <v>23</v>
      </c>
      <c r="H67" s="7">
        <v>61.48</v>
      </c>
      <c r="I67" s="8">
        <v>65</v>
      </c>
      <c r="J67" s="8"/>
    </row>
    <row r="68" spans="1:10">
      <c r="A68" s="6">
        <v>66</v>
      </c>
      <c r="B68" s="6" t="str">
        <f t="shared" si="1"/>
        <v>0101</v>
      </c>
      <c r="C68" s="6" t="s">
        <v>11</v>
      </c>
      <c r="D68" s="6" t="str">
        <f>"刘婷婷"</f>
        <v>刘婷婷</v>
      </c>
      <c r="E68" s="6" t="str">
        <f>"202409210318"</f>
        <v>202409210318</v>
      </c>
      <c r="F68" s="6" t="str">
        <f>"03"</f>
        <v>03</v>
      </c>
      <c r="G68" s="6" t="str">
        <f>"18"</f>
        <v>18</v>
      </c>
      <c r="H68" s="7">
        <v>61.47</v>
      </c>
      <c r="I68" s="8">
        <v>66</v>
      </c>
      <c r="J68" s="8"/>
    </row>
    <row r="69" spans="1:10">
      <c r="A69" s="6">
        <v>67</v>
      </c>
      <c r="B69" s="6" t="str">
        <f t="shared" si="1"/>
        <v>0101</v>
      </c>
      <c r="C69" s="6" t="s">
        <v>11</v>
      </c>
      <c r="D69" s="6" t="str">
        <f>"黄蓉"</f>
        <v>黄蓉</v>
      </c>
      <c r="E69" s="6" t="str">
        <f>"202409210420"</f>
        <v>202409210420</v>
      </c>
      <c r="F69" s="6" t="str">
        <f>"04"</f>
        <v>04</v>
      </c>
      <c r="G69" s="6" t="str">
        <f>"20"</f>
        <v>20</v>
      </c>
      <c r="H69" s="7">
        <v>61.36</v>
      </c>
      <c r="I69" s="8">
        <v>67</v>
      </c>
      <c r="J69" s="8"/>
    </row>
    <row r="70" spans="1:10">
      <c r="A70" s="6">
        <v>68</v>
      </c>
      <c r="B70" s="6" t="str">
        <f t="shared" si="1"/>
        <v>0101</v>
      </c>
      <c r="C70" s="6" t="s">
        <v>11</v>
      </c>
      <c r="D70" s="6" t="str">
        <f>"李春娴"</f>
        <v>李春娴</v>
      </c>
      <c r="E70" s="6" t="str">
        <f>"202409210519"</f>
        <v>202409210519</v>
      </c>
      <c r="F70" s="6" t="str">
        <f>"05"</f>
        <v>05</v>
      </c>
      <c r="G70" s="6" t="str">
        <f>"19"</f>
        <v>19</v>
      </c>
      <c r="H70" s="7">
        <v>61.26</v>
      </c>
      <c r="I70" s="8">
        <v>68</v>
      </c>
      <c r="J70" s="8"/>
    </row>
    <row r="71" spans="1:10">
      <c r="A71" s="6">
        <v>69</v>
      </c>
      <c r="B71" s="6" t="str">
        <f t="shared" si="1"/>
        <v>0101</v>
      </c>
      <c r="C71" s="6" t="s">
        <v>11</v>
      </c>
      <c r="D71" s="6" t="str">
        <f>"吴清丽"</f>
        <v>吴清丽</v>
      </c>
      <c r="E71" s="6" t="str">
        <f>"202409210119"</f>
        <v>202409210119</v>
      </c>
      <c r="F71" s="6" t="str">
        <f>"01"</f>
        <v>01</v>
      </c>
      <c r="G71" s="6" t="str">
        <f>"19"</f>
        <v>19</v>
      </c>
      <c r="H71" s="7">
        <v>61.05</v>
      </c>
      <c r="I71" s="8">
        <v>69</v>
      </c>
      <c r="J71" s="8"/>
    </row>
    <row r="72" spans="1:10">
      <c r="A72" s="6">
        <v>70</v>
      </c>
      <c r="B72" s="6" t="str">
        <f t="shared" si="1"/>
        <v>0101</v>
      </c>
      <c r="C72" s="6" t="s">
        <v>11</v>
      </c>
      <c r="D72" s="6" t="str">
        <f>"王露露"</f>
        <v>王露露</v>
      </c>
      <c r="E72" s="6" t="str">
        <f>"202409210326"</f>
        <v>202409210326</v>
      </c>
      <c r="F72" s="6" t="str">
        <f>"03"</f>
        <v>03</v>
      </c>
      <c r="G72" s="6" t="str">
        <f>"26"</f>
        <v>26</v>
      </c>
      <c r="H72" s="7">
        <v>60.8</v>
      </c>
      <c r="I72" s="8">
        <v>70</v>
      </c>
      <c r="J72" s="8"/>
    </row>
    <row r="73" spans="1:10">
      <c r="A73" s="6">
        <v>71</v>
      </c>
      <c r="B73" s="6" t="str">
        <f t="shared" si="1"/>
        <v>0101</v>
      </c>
      <c r="C73" s="6" t="s">
        <v>11</v>
      </c>
      <c r="D73" s="6" t="str">
        <f>"吴青越"</f>
        <v>吴青越</v>
      </c>
      <c r="E73" s="6" t="str">
        <f>"202409210612"</f>
        <v>202409210612</v>
      </c>
      <c r="F73" s="6" t="str">
        <f>"06"</f>
        <v>06</v>
      </c>
      <c r="G73" s="6" t="str">
        <f>"12"</f>
        <v>12</v>
      </c>
      <c r="H73" s="7">
        <v>60.8</v>
      </c>
      <c r="I73" s="8">
        <v>71</v>
      </c>
      <c r="J73" s="8"/>
    </row>
    <row r="74" spans="1:10">
      <c r="A74" s="6">
        <v>72</v>
      </c>
      <c r="B74" s="6" t="str">
        <f t="shared" si="1"/>
        <v>0101</v>
      </c>
      <c r="C74" s="6" t="s">
        <v>11</v>
      </c>
      <c r="D74" s="6" t="str">
        <f>"王蕾"</f>
        <v>王蕾</v>
      </c>
      <c r="E74" s="6" t="str">
        <f>"202409210117"</f>
        <v>202409210117</v>
      </c>
      <c r="F74" s="6" t="str">
        <f>"01"</f>
        <v>01</v>
      </c>
      <c r="G74" s="6" t="str">
        <f>"17"</f>
        <v>17</v>
      </c>
      <c r="H74" s="7">
        <v>60.7</v>
      </c>
      <c r="I74" s="8">
        <v>72</v>
      </c>
      <c r="J74" s="8"/>
    </row>
    <row r="75" spans="1:10">
      <c r="A75" s="6">
        <v>73</v>
      </c>
      <c r="B75" s="6" t="str">
        <f t="shared" si="1"/>
        <v>0101</v>
      </c>
      <c r="C75" s="6" t="s">
        <v>11</v>
      </c>
      <c r="D75" s="6" t="str">
        <f>"王磊"</f>
        <v>王磊</v>
      </c>
      <c r="E75" s="6" t="str">
        <f>"202409210607"</f>
        <v>202409210607</v>
      </c>
      <c r="F75" s="6" t="str">
        <f>"06"</f>
        <v>06</v>
      </c>
      <c r="G75" s="6" t="str">
        <f>"07"</f>
        <v>07</v>
      </c>
      <c r="H75" s="7">
        <v>60.29</v>
      </c>
      <c r="I75" s="8">
        <v>73</v>
      </c>
      <c r="J75" s="8"/>
    </row>
    <row r="76" spans="1:10">
      <c r="A76" s="6">
        <v>74</v>
      </c>
      <c r="B76" s="6" t="str">
        <f t="shared" si="1"/>
        <v>0101</v>
      </c>
      <c r="C76" s="6" t="s">
        <v>11</v>
      </c>
      <c r="D76" s="6" t="str">
        <f>"陈春宇"</f>
        <v>陈春宇</v>
      </c>
      <c r="E76" s="6" t="str">
        <f>"202409210712"</f>
        <v>202409210712</v>
      </c>
      <c r="F76" s="6" t="str">
        <f>"07"</f>
        <v>07</v>
      </c>
      <c r="G76" s="6" t="str">
        <f>"12"</f>
        <v>12</v>
      </c>
      <c r="H76" s="7">
        <v>59.98</v>
      </c>
      <c r="I76" s="8">
        <v>74</v>
      </c>
      <c r="J76" s="8"/>
    </row>
    <row r="77" spans="1:10">
      <c r="A77" s="6">
        <v>75</v>
      </c>
      <c r="B77" s="6" t="str">
        <f t="shared" si="1"/>
        <v>0101</v>
      </c>
      <c r="C77" s="6" t="s">
        <v>11</v>
      </c>
      <c r="D77" s="6" t="str">
        <f>"康婷婷"</f>
        <v>康婷婷</v>
      </c>
      <c r="E77" s="6" t="str">
        <f>"202409210411"</f>
        <v>202409210411</v>
      </c>
      <c r="F77" s="6" t="str">
        <f>"04"</f>
        <v>04</v>
      </c>
      <c r="G77" s="6" t="str">
        <f>"11"</f>
        <v>11</v>
      </c>
      <c r="H77" s="7">
        <v>59.93</v>
      </c>
      <c r="I77" s="8">
        <v>75</v>
      </c>
      <c r="J77" s="8"/>
    </row>
    <row r="78" spans="1:10">
      <c r="A78" s="6">
        <v>76</v>
      </c>
      <c r="B78" s="6" t="str">
        <f t="shared" si="1"/>
        <v>0101</v>
      </c>
      <c r="C78" s="6" t="s">
        <v>11</v>
      </c>
      <c r="D78" s="6" t="str">
        <f>"赵海茵"</f>
        <v>赵海茵</v>
      </c>
      <c r="E78" s="6" t="str">
        <f>"202409210512"</f>
        <v>202409210512</v>
      </c>
      <c r="F78" s="6" t="str">
        <f>"05"</f>
        <v>05</v>
      </c>
      <c r="G78" s="6" t="str">
        <f>"12"</f>
        <v>12</v>
      </c>
      <c r="H78" s="7">
        <v>59.78</v>
      </c>
      <c r="I78" s="8">
        <v>76</v>
      </c>
      <c r="J78" s="8"/>
    </row>
    <row r="79" spans="1:10">
      <c r="A79" s="6">
        <v>77</v>
      </c>
      <c r="B79" s="6" t="str">
        <f t="shared" si="1"/>
        <v>0101</v>
      </c>
      <c r="C79" s="6" t="s">
        <v>11</v>
      </c>
      <c r="D79" s="6" t="str">
        <f>"陈敏"</f>
        <v>陈敏</v>
      </c>
      <c r="E79" s="6" t="str">
        <f>"202409210228"</f>
        <v>202409210228</v>
      </c>
      <c r="F79" s="6" t="str">
        <f>"02"</f>
        <v>02</v>
      </c>
      <c r="G79" s="6" t="str">
        <f>"28"</f>
        <v>28</v>
      </c>
      <c r="H79" s="7">
        <v>59.68</v>
      </c>
      <c r="I79" s="8">
        <v>77</v>
      </c>
      <c r="J79" s="8"/>
    </row>
    <row r="80" spans="1:10">
      <c r="A80" s="6">
        <v>78</v>
      </c>
      <c r="B80" s="6" t="str">
        <f t="shared" si="1"/>
        <v>0101</v>
      </c>
      <c r="C80" s="6" t="s">
        <v>11</v>
      </c>
      <c r="D80" s="6" t="str">
        <f>"华艾"</f>
        <v>华艾</v>
      </c>
      <c r="E80" s="6" t="str">
        <f>"202409210615"</f>
        <v>202409210615</v>
      </c>
      <c r="F80" s="6" t="str">
        <f>"06"</f>
        <v>06</v>
      </c>
      <c r="G80" s="6" t="str">
        <f>"15"</f>
        <v>15</v>
      </c>
      <c r="H80" s="7">
        <v>59.64</v>
      </c>
      <c r="I80" s="8">
        <v>78</v>
      </c>
      <c r="J80" s="8"/>
    </row>
    <row r="81" spans="1:10">
      <c r="A81" s="6">
        <v>79</v>
      </c>
      <c r="B81" s="6" t="str">
        <f t="shared" si="1"/>
        <v>0101</v>
      </c>
      <c r="C81" s="6" t="s">
        <v>11</v>
      </c>
      <c r="D81" s="6" t="str">
        <f>"林金香"</f>
        <v>林金香</v>
      </c>
      <c r="E81" s="6" t="str">
        <f>"202409210213"</f>
        <v>202409210213</v>
      </c>
      <c r="F81" s="6" t="str">
        <f>"02"</f>
        <v>02</v>
      </c>
      <c r="G81" s="6" t="str">
        <f>"13"</f>
        <v>13</v>
      </c>
      <c r="H81" s="7">
        <v>59.57</v>
      </c>
      <c r="I81" s="8">
        <v>79</v>
      </c>
      <c r="J81" s="8"/>
    </row>
    <row r="82" spans="1:10">
      <c r="A82" s="6">
        <v>80</v>
      </c>
      <c r="B82" s="6" t="str">
        <f t="shared" si="1"/>
        <v>0101</v>
      </c>
      <c r="C82" s="6" t="s">
        <v>11</v>
      </c>
      <c r="D82" s="6" t="str">
        <f>"杨泽芬"</f>
        <v>杨泽芬</v>
      </c>
      <c r="E82" s="6" t="str">
        <f>"202409210305"</f>
        <v>202409210305</v>
      </c>
      <c r="F82" s="6" t="str">
        <f>"03"</f>
        <v>03</v>
      </c>
      <c r="G82" s="6" t="str">
        <f>"05"</f>
        <v>05</v>
      </c>
      <c r="H82" s="7">
        <v>58.96</v>
      </c>
      <c r="I82" s="8">
        <v>80</v>
      </c>
      <c r="J82" s="8"/>
    </row>
    <row r="83" spans="1:10">
      <c r="A83" s="6">
        <v>81</v>
      </c>
      <c r="B83" s="6" t="str">
        <f t="shared" si="1"/>
        <v>0101</v>
      </c>
      <c r="C83" s="6" t="s">
        <v>11</v>
      </c>
      <c r="D83" s="6" t="str">
        <f>"聂香精"</f>
        <v>聂香精</v>
      </c>
      <c r="E83" s="6" t="str">
        <f>"202409210630"</f>
        <v>202409210630</v>
      </c>
      <c r="F83" s="6" t="str">
        <f>"06"</f>
        <v>06</v>
      </c>
      <c r="G83" s="6" t="str">
        <f>"30"</f>
        <v>30</v>
      </c>
      <c r="H83" s="7">
        <v>58.8</v>
      </c>
      <c r="I83" s="8">
        <v>81</v>
      </c>
      <c r="J83" s="8"/>
    </row>
    <row r="84" spans="1:10">
      <c r="A84" s="6">
        <v>82</v>
      </c>
      <c r="B84" s="6" t="str">
        <f t="shared" si="1"/>
        <v>0101</v>
      </c>
      <c r="C84" s="6" t="s">
        <v>11</v>
      </c>
      <c r="D84" s="6" t="str">
        <f>"韩妮婷"</f>
        <v>韩妮婷</v>
      </c>
      <c r="E84" s="6" t="str">
        <f>"202409210306"</f>
        <v>202409210306</v>
      </c>
      <c r="F84" s="6" t="str">
        <f>"03"</f>
        <v>03</v>
      </c>
      <c r="G84" s="6" t="str">
        <f>"06"</f>
        <v>06</v>
      </c>
      <c r="H84" s="7">
        <v>58.55</v>
      </c>
      <c r="I84" s="8">
        <v>82</v>
      </c>
      <c r="J84" s="8"/>
    </row>
    <row r="85" spans="1:10">
      <c r="A85" s="6">
        <v>83</v>
      </c>
      <c r="B85" s="6" t="str">
        <f t="shared" si="1"/>
        <v>0101</v>
      </c>
      <c r="C85" s="6" t="s">
        <v>11</v>
      </c>
      <c r="D85" s="6" t="str">
        <f>"林玟"</f>
        <v>林玟</v>
      </c>
      <c r="E85" s="6" t="str">
        <f>"202409210401"</f>
        <v>202409210401</v>
      </c>
      <c r="F85" s="6" t="str">
        <f>"04"</f>
        <v>04</v>
      </c>
      <c r="G85" s="6" t="str">
        <f>"01"</f>
        <v>01</v>
      </c>
      <c r="H85" s="7">
        <v>58.5</v>
      </c>
      <c r="I85" s="8">
        <v>83</v>
      </c>
      <c r="J85" s="8"/>
    </row>
    <row r="86" spans="1:10">
      <c r="A86" s="6">
        <v>84</v>
      </c>
      <c r="B86" s="6" t="str">
        <f t="shared" si="1"/>
        <v>0101</v>
      </c>
      <c r="C86" s="6" t="s">
        <v>11</v>
      </c>
      <c r="D86" s="6" t="str">
        <f>"张石恩"</f>
        <v>张石恩</v>
      </c>
      <c r="E86" s="6" t="str">
        <f>"202409210501"</f>
        <v>202409210501</v>
      </c>
      <c r="F86" s="6" t="str">
        <f>"05"</f>
        <v>05</v>
      </c>
      <c r="G86" s="6" t="str">
        <f>"01"</f>
        <v>01</v>
      </c>
      <c r="H86" s="7">
        <v>58.44</v>
      </c>
      <c r="I86" s="8">
        <v>84</v>
      </c>
      <c r="J86" s="8"/>
    </row>
    <row r="87" spans="1:10">
      <c r="A87" s="6">
        <v>85</v>
      </c>
      <c r="B87" s="6" t="str">
        <f t="shared" si="1"/>
        <v>0101</v>
      </c>
      <c r="C87" s="6" t="s">
        <v>11</v>
      </c>
      <c r="D87" s="6" t="str">
        <f>"王少华"</f>
        <v>王少华</v>
      </c>
      <c r="E87" s="6" t="str">
        <f>"202409210527"</f>
        <v>202409210527</v>
      </c>
      <c r="F87" s="6" t="str">
        <f>"05"</f>
        <v>05</v>
      </c>
      <c r="G87" s="6" t="str">
        <f>"27"</f>
        <v>27</v>
      </c>
      <c r="H87" s="7">
        <v>58.15</v>
      </c>
      <c r="I87" s="8">
        <v>85</v>
      </c>
      <c r="J87" s="8"/>
    </row>
    <row r="88" spans="1:10">
      <c r="A88" s="6">
        <v>86</v>
      </c>
      <c r="B88" s="6" t="str">
        <f t="shared" si="1"/>
        <v>0101</v>
      </c>
      <c r="C88" s="6" t="s">
        <v>11</v>
      </c>
      <c r="D88" s="6" t="str">
        <f>"彭寿静"</f>
        <v>彭寿静</v>
      </c>
      <c r="E88" s="6" t="str">
        <f>"202409210508"</f>
        <v>202409210508</v>
      </c>
      <c r="F88" s="6" t="str">
        <f>"05"</f>
        <v>05</v>
      </c>
      <c r="G88" s="6" t="str">
        <f>"08"</f>
        <v>08</v>
      </c>
      <c r="H88" s="7">
        <v>58</v>
      </c>
      <c r="I88" s="8">
        <v>86</v>
      </c>
      <c r="J88" s="8"/>
    </row>
    <row r="89" spans="1:10">
      <c r="A89" s="6">
        <v>87</v>
      </c>
      <c r="B89" s="6" t="str">
        <f t="shared" si="1"/>
        <v>0101</v>
      </c>
      <c r="C89" s="6" t="s">
        <v>11</v>
      </c>
      <c r="D89" s="6" t="str">
        <f>"黄巧仪"</f>
        <v>黄巧仪</v>
      </c>
      <c r="E89" s="6" t="str">
        <f>"202409210701"</f>
        <v>202409210701</v>
      </c>
      <c r="F89" s="6" t="str">
        <f>"07"</f>
        <v>07</v>
      </c>
      <c r="G89" s="6" t="str">
        <f>"01"</f>
        <v>01</v>
      </c>
      <c r="H89" s="7">
        <v>58</v>
      </c>
      <c r="I89" s="8">
        <v>87</v>
      </c>
      <c r="J89" s="8"/>
    </row>
    <row r="90" spans="1:10">
      <c r="A90" s="6">
        <v>88</v>
      </c>
      <c r="B90" s="6" t="str">
        <f t="shared" si="1"/>
        <v>0101</v>
      </c>
      <c r="C90" s="6" t="s">
        <v>11</v>
      </c>
      <c r="D90" s="6" t="str">
        <f>"李朝英"</f>
        <v>李朝英</v>
      </c>
      <c r="E90" s="6" t="str">
        <f>"202409210520"</f>
        <v>202409210520</v>
      </c>
      <c r="F90" s="6" t="str">
        <f>"05"</f>
        <v>05</v>
      </c>
      <c r="G90" s="6" t="str">
        <f>"20"</f>
        <v>20</v>
      </c>
      <c r="H90" s="7">
        <v>57.85</v>
      </c>
      <c r="I90" s="8">
        <v>88</v>
      </c>
      <c r="J90" s="8"/>
    </row>
    <row r="91" spans="1:10">
      <c r="A91" s="6">
        <v>89</v>
      </c>
      <c r="B91" s="6" t="str">
        <f t="shared" si="1"/>
        <v>0101</v>
      </c>
      <c r="C91" s="6" t="s">
        <v>11</v>
      </c>
      <c r="D91" s="6" t="str">
        <f>"崔亚引"</f>
        <v>崔亚引</v>
      </c>
      <c r="E91" s="6" t="str">
        <f>"202409210408"</f>
        <v>202409210408</v>
      </c>
      <c r="F91" s="6" t="str">
        <f>"04"</f>
        <v>04</v>
      </c>
      <c r="G91" s="6" t="str">
        <f>"08"</f>
        <v>08</v>
      </c>
      <c r="H91" s="7">
        <v>57.82</v>
      </c>
      <c r="I91" s="8">
        <v>89</v>
      </c>
      <c r="J91" s="8"/>
    </row>
    <row r="92" spans="1:10">
      <c r="A92" s="6">
        <v>90</v>
      </c>
      <c r="B92" s="6" t="str">
        <f t="shared" si="1"/>
        <v>0101</v>
      </c>
      <c r="C92" s="6" t="s">
        <v>11</v>
      </c>
      <c r="D92" s="6" t="str">
        <f>"莫小萍"</f>
        <v>莫小萍</v>
      </c>
      <c r="E92" s="6" t="str">
        <f>"202409210102"</f>
        <v>202409210102</v>
      </c>
      <c r="F92" s="6" t="str">
        <f>"01"</f>
        <v>01</v>
      </c>
      <c r="G92" s="6" t="str">
        <f>"02"</f>
        <v>02</v>
      </c>
      <c r="H92" s="7">
        <v>57.75</v>
      </c>
      <c r="I92" s="8">
        <v>90</v>
      </c>
      <c r="J92" s="8"/>
    </row>
    <row r="93" spans="1:10">
      <c r="A93" s="6">
        <v>91</v>
      </c>
      <c r="B93" s="6" t="str">
        <f t="shared" si="1"/>
        <v>0101</v>
      </c>
      <c r="C93" s="6" t="s">
        <v>11</v>
      </c>
      <c r="D93" s="6" t="str">
        <f>"邢惠茹"</f>
        <v>邢惠茹</v>
      </c>
      <c r="E93" s="6" t="str">
        <f>"202409210301"</f>
        <v>202409210301</v>
      </c>
      <c r="F93" s="6" t="str">
        <f>"03"</f>
        <v>03</v>
      </c>
      <c r="G93" s="6" t="str">
        <f>"01"</f>
        <v>01</v>
      </c>
      <c r="H93" s="7">
        <v>57.73</v>
      </c>
      <c r="I93" s="8">
        <v>91</v>
      </c>
      <c r="J93" s="8"/>
    </row>
    <row r="94" spans="1:10">
      <c r="A94" s="6">
        <v>92</v>
      </c>
      <c r="B94" s="6" t="str">
        <f t="shared" si="1"/>
        <v>0101</v>
      </c>
      <c r="C94" s="6" t="s">
        <v>11</v>
      </c>
      <c r="D94" s="6" t="str">
        <f>"符壮丽"</f>
        <v>符壮丽</v>
      </c>
      <c r="E94" s="6" t="str">
        <f>"202409210426"</f>
        <v>202409210426</v>
      </c>
      <c r="F94" s="6" t="str">
        <f>"04"</f>
        <v>04</v>
      </c>
      <c r="G94" s="6" t="str">
        <f>"26"</f>
        <v>26</v>
      </c>
      <c r="H94" s="7">
        <v>57.68</v>
      </c>
      <c r="I94" s="8">
        <v>92</v>
      </c>
      <c r="J94" s="8"/>
    </row>
    <row r="95" spans="1:10">
      <c r="A95" s="6">
        <v>93</v>
      </c>
      <c r="B95" s="6" t="str">
        <f t="shared" si="1"/>
        <v>0101</v>
      </c>
      <c r="C95" s="6" t="s">
        <v>11</v>
      </c>
      <c r="D95" s="6" t="str">
        <f>"翁岚栖"</f>
        <v>翁岚栖</v>
      </c>
      <c r="E95" s="6" t="str">
        <f>"202409210513"</f>
        <v>202409210513</v>
      </c>
      <c r="F95" s="6" t="str">
        <f>"05"</f>
        <v>05</v>
      </c>
      <c r="G95" s="6" t="str">
        <f>"13"</f>
        <v>13</v>
      </c>
      <c r="H95" s="7">
        <v>57.48</v>
      </c>
      <c r="I95" s="8">
        <v>93</v>
      </c>
      <c r="J95" s="8"/>
    </row>
    <row r="96" spans="1:10">
      <c r="A96" s="6">
        <v>94</v>
      </c>
      <c r="B96" s="6" t="str">
        <f t="shared" si="1"/>
        <v>0101</v>
      </c>
      <c r="C96" s="6" t="s">
        <v>11</v>
      </c>
      <c r="D96" s="6" t="str">
        <f>"宋小燕"</f>
        <v>宋小燕</v>
      </c>
      <c r="E96" s="6" t="str">
        <f>"202409210404"</f>
        <v>202409210404</v>
      </c>
      <c r="F96" s="6" t="str">
        <f>"04"</f>
        <v>04</v>
      </c>
      <c r="G96" s="6" t="str">
        <f>"04"</f>
        <v>04</v>
      </c>
      <c r="H96" s="7">
        <v>57.32</v>
      </c>
      <c r="I96" s="8">
        <v>94</v>
      </c>
      <c r="J96" s="8"/>
    </row>
    <row r="97" spans="1:10">
      <c r="A97" s="6">
        <v>95</v>
      </c>
      <c r="B97" s="6" t="str">
        <f t="shared" si="1"/>
        <v>0101</v>
      </c>
      <c r="C97" s="6" t="s">
        <v>11</v>
      </c>
      <c r="D97" s="6" t="str">
        <f>"周小淋"</f>
        <v>周小淋</v>
      </c>
      <c r="E97" s="6" t="str">
        <f>"202409210627"</f>
        <v>202409210627</v>
      </c>
      <c r="F97" s="6" t="str">
        <f>"06"</f>
        <v>06</v>
      </c>
      <c r="G97" s="6" t="str">
        <f>"27"</f>
        <v>27</v>
      </c>
      <c r="H97" s="7">
        <v>57.26</v>
      </c>
      <c r="I97" s="8">
        <v>95</v>
      </c>
      <c r="J97" s="8"/>
    </row>
    <row r="98" spans="1:10">
      <c r="A98" s="6">
        <v>96</v>
      </c>
      <c r="B98" s="6" t="str">
        <f t="shared" si="1"/>
        <v>0101</v>
      </c>
      <c r="C98" s="6" t="s">
        <v>11</v>
      </c>
      <c r="D98" s="6" t="str">
        <f>"叶淇娜"</f>
        <v>叶淇娜</v>
      </c>
      <c r="E98" s="6" t="str">
        <f>"202409210528"</f>
        <v>202409210528</v>
      </c>
      <c r="F98" s="6" t="str">
        <f>"05"</f>
        <v>05</v>
      </c>
      <c r="G98" s="6" t="str">
        <f>"28"</f>
        <v>28</v>
      </c>
      <c r="H98" s="7">
        <v>57.15</v>
      </c>
      <c r="I98" s="8">
        <v>96</v>
      </c>
      <c r="J98" s="8"/>
    </row>
    <row r="99" spans="1:10">
      <c r="A99" s="6">
        <v>97</v>
      </c>
      <c r="B99" s="6" t="str">
        <f t="shared" si="1"/>
        <v>0101</v>
      </c>
      <c r="C99" s="6" t="s">
        <v>11</v>
      </c>
      <c r="D99" s="6" t="str">
        <f>"方桢"</f>
        <v>方桢</v>
      </c>
      <c r="E99" s="6" t="str">
        <f>"202409210220"</f>
        <v>202409210220</v>
      </c>
      <c r="F99" s="6" t="str">
        <f>"02"</f>
        <v>02</v>
      </c>
      <c r="G99" s="6" t="str">
        <f>"20"</f>
        <v>20</v>
      </c>
      <c r="H99" s="7">
        <v>56.88</v>
      </c>
      <c r="I99" s="8">
        <v>97</v>
      </c>
      <c r="J99" s="8"/>
    </row>
    <row r="100" spans="1:10">
      <c r="A100" s="6">
        <v>98</v>
      </c>
      <c r="B100" s="6" t="str">
        <f t="shared" si="1"/>
        <v>0101</v>
      </c>
      <c r="C100" s="6" t="s">
        <v>11</v>
      </c>
      <c r="D100" s="6" t="str">
        <f>"唐海梅"</f>
        <v>唐海梅</v>
      </c>
      <c r="E100" s="6" t="str">
        <f>"202409210225"</f>
        <v>202409210225</v>
      </c>
      <c r="F100" s="6" t="str">
        <f>"02"</f>
        <v>02</v>
      </c>
      <c r="G100" s="6" t="str">
        <f>"25"</f>
        <v>25</v>
      </c>
      <c r="H100" s="7">
        <v>56.48</v>
      </c>
      <c r="I100" s="8">
        <v>98</v>
      </c>
      <c r="J100" s="8"/>
    </row>
    <row r="101" spans="1:10">
      <c r="A101" s="6">
        <v>99</v>
      </c>
      <c r="B101" s="6" t="str">
        <f t="shared" si="1"/>
        <v>0101</v>
      </c>
      <c r="C101" s="6" t="s">
        <v>11</v>
      </c>
      <c r="D101" s="6" t="str">
        <f>"符其丹"</f>
        <v>符其丹</v>
      </c>
      <c r="E101" s="6" t="str">
        <f>"202409210521"</f>
        <v>202409210521</v>
      </c>
      <c r="F101" s="6" t="str">
        <f>"05"</f>
        <v>05</v>
      </c>
      <c r="G101" s="6" t="str">
        <f>"21"</f>
        <v>21</v>
      </c>
      <c r="H101" s="7">
        <v>56.22</v>
      </c>
      <c r="I101" s="8">
        <v>99</v>
      </c>
      <c r="J101" s="8"/>
    </row>
    <row r="102" spans="1:10">
      <c r="A102" s="6">
        <v>100</v>
      </c>
      <c r="B102" s="6" t="str">
        <f t="shared" si="1"/>
        <v>0101</v>
      </c>
      <c r="C102" s="6" t="s">
        <v>11</v>
      </c>
      <c r="D102" s="6" t="str">
        <f>"林惠珍"</f>
        <v>林惠珍</v>
      </c>
      <c r="E102" s="6" t="str">
        <f>"202409210129"</f>
        <v>202409210129</v>
      </c>
      <c r="F102" s="6" t="str">
        <f>"01"</f>
        <v>01</v>
      </c>
      <c r="G102" s="6" t="str">
        <f>"29"</f>
        <v>29</v>
      </c>
      <c r="H102" s="7">
        <v>56.16</v>
      </c>
      <c r="I102" s="8">
        <v>100</v>
      </c>
      <c r="J102" s="8"/>
    </row>
    <row r="103" spans="1:10">
      <c r="A103" s="6">
        <v>101</v>
      </c>
      <c r="B103" s="6" t="str">
        <f t="shared" si="1"/>
        <v>0101</v>
      </c>
      <c r="C103" s="6" t="s">
        <v>11</v>
      </c>
      <c r="D103" s="6" t="str">
        <f>"岑春喜"</f>
        <v>岑春喜</v>
      </c>
      <c r="E103" s="6" t="str">
        <f>"202409210114"</f>
        <v>202409210114</v>
      </c>
      <c r="F103" s="6" t="str">
        <f>"01"</f>
        <v>01</v>
      </c>
      <c r="G103" s="6" t="str">
        <f>"14"</f>
        <v>14</v>
      </c>
      <c r="H103" s="7">
        <v>56.15</v>
      </c>
      <c r="I103" s="8">
        <v>101</v>
      </c>
      <c r="J103" s="8"/>
    </row>
    <row r="104" spans="1:10">
      <c r="A104" s="6">
        <v>102</v>
      </c>
      <c r="B104" s="6" t="str">
        <f t="shared" si="1"/>
        <v>0101</v>
      </c>
      <c r="C104" s="6" t="s">
        <v>11</v>
      </c>
      <c r="D104" s="6" t="str">
        <f>"骆秀川"</f>
        <v>骆秀川</v>
      </c>
      <c r="E104" s="6" t="str">
        <f>"202409210608"</f>
        <v>202409210608</v>
      </c>
      <c r="F104" s="6" t="str">
        <f>"06"</f>
        <v>06</v>
      </c>
      <c r="G104" s="6" t="str">
        <f>"08"</f>
        <v>08</v>
      </c>
      <c r="H104" s="7">
        <v>55.99</v>
      </c>
      <c r="I104" s="8">
        <v>102</v>
      </c>
      <c r="J104" s="8"/>
    </row>
    <row r="105" spans="1:10">
      <c r="A105" s="6">
        <v>103</v>
      </c>
      <c r="B105" s="6" t="str">
        <f t="shared" si="1"/>
        <v>0101</v>
      </c>
      <c r="C105" s="6" t="s">
        <v>11</v>
      </c>
      <c r="D105" s="6" t="str">
        <f>"陈碧泓"</f>
        <v>陈碧泓</v>
      </c>
      <c r="E105" s="6" t="str">
        <f>"202409210116"</f>
        <v>202409210116</v>
      </c>
      <c r="F105" s="6" t="str">
        <f>"01"</f>
        <v>01</v>
      </c>
      <c r="G105" s="6" t="str">
        <f>"16"</f>
        <v>16</v>
      </c>
      <c r="H105" s="7">
        <v>55.88</v>
      </c>
      <c r="I105" s="8">
        <v>103</v>
      </c>
      <c r="J105" s="8"/>
    </row>
    <row r="106" spans="1:10">
      <c r="A106" s="6">
        <v>104</v>
      </c>
      <c r="B106" s="6" t="str">
        <f t="shared" si="1"/>
        <v>0101</v>
      </c>
      <c r="C106" s="6" t="s">
        <v>11</v>
      </c>
      <c r="D106" s="6" t="str">
        <f>"林天妍"</f>
        <v>林天妍</v>
      </c>
      <c r="E106" s="6" t="str">
        <f>"202409210505"</f>
        <v>202409210505</v>
      </c>
      <c r="F106" s="6" t="str">
        <f>"05"</f>
        <v>05</v>
      </c>
      <c r="G106" s="6" t="str">
        <f>"05"</f>
        <v>05</v>
      </c>
      <c r="H106" s="7">
        <v>55.87</v>
      </c>
      <c r="I106" s="8">
        <v>104</v>
      </c>
      <c r="J106" s="8"/>
    </row>
    <row r="107" spans="1:10">
      <c r="A107" s="6">
        <v>105</v>
      </c>
      <c r="B107" s="6" t="str">
        <f t="shared" si="1"/>
        <v>0101</v>
      </c>
      <c r="C107" s="6" t="s">
        <v>11</v>
      </c>
      <c r="D107" s="6" t="str">
        <f>"周宝莹"</f>
        <v>周宝莹</v>
      </c>
      <c r="E107" s="6" t="str">
        <f>"202409210328"</f>
        <v>202409210328</v>
      </c>
      <c r="F107" s="6" t="str">
        <f>"03"</f>
        <v>03</v>
      </c>
      <c r="G107" s="6" t="str">
        <f>"28"</f>
        <v>28</v>
      </c>
      <c r="H107" s="7">
        <v>55.84</v>
      </c>
      <c r="I107" s="8">
        <v>105</v>
      </c>
      <c r="J107" s="8"/>
    </row>
    <row r="108" spans="1:10">
      <c r="A108" s="6">
        <v>106</v>
      </c>
      <c r="B108" s="6" t="str">
        <f t="shared" si="1"/>
        <v>0101</v>
      </c>
      <c r="C108" s="6" t="s">
        <v>11</v>
      </c>
      <c r="D108" s="6" t="str">
        <f>"王晨迅"</f>
        <v>王晨迅</v>
      </c>
      <c r="E108" s="6" t="str">
        <f>"202409210601"</f>
        <v>202409210601</v>
      </c>
      <c r="F108" s="6" t="str">
        <f>"06"</f>
        <v>06</v>
      </c>
      <c r="G108" s="6" t="str">
        <f>"01"</f>
        <v>01</v>
      </c>
      <c r="H108" s="7">
        <v>55.77</v>
      </c>
      <c r="I108" s="8">
        <v>106</v>
      </c>
      <c r="J108" s="8"/>
    </row>
    <row r="109" spans="1:10">
      <c r="A109" s="6">
        <v>107</v>
      </c>
      <c r="B109" s="6" t="str">
        <f t="shared" si="1"/>
        <v>0101</v>
      </c>
      <c r="C109" s="6" t="s">
        <v>11</v>
      </c>
      <c r="D109" s="6" t="str">
        <f>"杨小慧"</f>
        <v>杨小慧</v>
      </c>
      <c r="E109" s="6" t="str">
        <f>"202409210529"</f>
        <v>202409210529</v>
      </c>
      <c r="F109" s="6" t="str">
        <f>"05"</f>
        <v>05</v>
      </c>
      <c r="G109" s="6" t="str">
        <f>"29"</f>
        <v>29</v>
      </c>
      <c r="H109" s="7">
        <v>55.73</v>
      </c>
      <c r="I109" s="8">
        <v>107</v>
      </c>
      <c r="J109" s="8"/>
    </row>
    <row r="110" spans="1:10">
      <c r="A110" s="6">
        <v>108</v>
      </c>
      <c r="B110" s="6" t="str">
        <f t="shared" si="1"/>
        <v>0101</v>
      </c>
      <c r="C110" s="6" t="s">
        <v>11</v>
      </c>
      <c r="D110" s="6" t="str">
        <f>"包兵兵"</f>
        <v>包兵兵</v>
      </c>
      <c r="E110" s="6" t="str">
        <f>"202409210506"</f>
        <v>202409210506</v>
      </c>
      <c r="F110" s="6" t="str">
        <f>"05"</f>
        <v>05</v>
      </c>
      <c r="G110" s="6" t="str">
        <f>"06"</f>
        <v>06</v>
      </c>
      <c r="H110" s="7">
        <v>55.69</v>
      </c>
      <c r="I110" s="8">
        <v>108</v>
      </c>
      <c r="J110" s="8"/>
    </row>
    <row r="111" spans="1:10">
      <c r="A111" s="6">
        <v>109</v>
      </c>
      <c r="B111" s="6" t="str">
        <f t="shared" si="1"/>
        <v>0101</v>
      </c>
      <c r="C111" s="6" t="s">
        <v>11</v>
      </c>
      <c r="D111" s="6" t="str">
        <f>"张萌迪"</f>
        <v>张萌迪</v>
      </c>
      <c r="E111" s="6" t="str">
        <f>"202409210329"</f>
        <v>202409210329</v>
      </c>
      <c r="F111" s="6" t="str">
        <f>"03"</f>
        <v>03</v>
      </c>
      <c r="G111" s="6" t="str">
        <f>"29"</f>
        <v>29</v>
      </c>
      <c r="H111" s="7">
        <v>55.6</v>
      </c>
      <c r="I111" s="8">
        <v>109</v>
      </c>
      <c r="J111" s="8"/>
    </row>
    <row r="112" spans="1:10">
      <c r="A112" s="6">
        <v>110</v>
      </c>
      <c r="B112" s="6" t="str">
        <f t="shared" si="1"/>
        <v>0101</v>
      </c>
      <c r="C112" s="6" t="s">
        <v>11</v>
      </c>
      <c r="D112" s="6" t="str">
        <f>"符妹珠"</f>
        <v>符妹珠</v>
      </c>
      <c r="E112" s="6" t="str">
        <f>"202409210314"</f>
        <v>202409210314</v>
      </c>
      <c r="F112" s="6" t="str">
        <f>"03"</f>
        <v>03</v>
      </c>
      <c r="G112" s="6" t="str">
        <f>"14"</f>
        <v>14</v>
      </c>
      <c r="H112" s="7">
        <v>55.24</v>
      </c>
      <c r="I112" s="8">
        <v>110</v>
      </c>
      <c r="J112" s="8"/>
    </row>
    <row r="113" spans="1:10">
      <c r="A113" s="6">
        <v>111</v>
      </c>
      <c r="B113" s="6" t="str">
        <f t="shared" si="1"/>
        <v>0101</v>
      </c>
      <c r="C113" s="6" t="s">
        <v>11</v>
      </c>
      <c r="D113" s="6" t="str">
        <f>"岑琼娜"</f>
        <v>岑琼娜</v>
      </c>
      <c r="E113" s="6" t="str">
        <f>"202409210403"</f>
        <v>202409210403</v>
      </c>
      <c r="F113" s="6" t="str">
        <f>"04"</f>
        <v>04</v>
      </c>
      <c r="G113" s="6" t="str">
        <f>"03"</f>
        <v>03</v>
      </c>
      <c r="H113" s="7">
        <v>54.86</v>
      </c>
      <c r="I113" s="8">
        <v>111</v>
      </c>
      <c r="J113" s="8"/>
    </row>
    <row r="114" spans="1:10">
      <c r="A114" s="6">
        <v>112</v>
      </c>
      <c r="B114" s="6" t="str">
        <f t="shared" si="1"/>
        <v>0101</v>
      </c>
      <c r="C114" s="6" t="s">
        <v>11</v>
      </c>
      <c r="D114" s="6" t="str">
        <f>"梁日芳"</f>
        <v>梁日芳</v>
      </c>
      <c r="E114" s="6" t="str">
        <f>"202409210424"</f>
        <v>202409210424</v>
      </c>
      <c r="F114" s="6" t="str">
        <f>"04"</f>
        <v>04</v>
      </c>
      <c r="G114" s="6" t="str">
        <f>"24"</f>
        <v>24</v>
      </c>
      <c r="H114" s="7">
        <v>54.74</v>
      </c>
      <c r="I114" s="8">
        <v>112</v>
      </c>
      <c r="J114" s="8"/>
    </row>
    <row r="115" spans="1:10">
      <c r="A115" s="6">
        <v>113</v>
      </c>
      <c r="B115" s="6" t="str">
        <f t="shared" si="1"/>
        <v>0101</v>
      </c>
      <c r="C115" s="6" t="s">
        <v>11</v>
      </c>
      <c r="D115" s="6" t="str">
        <f>"余玲子"</f>
        <v>余玲子</v>
      </c>
      <c r="E115" s="6" t="str">
        <f>"202409210406"</f>
        <v>202409210406</v>
      </c>
      <c r="F115" s="6" t="str">
        <f>"04"</f>
        <v>04</v>
      </c>
      <c r="G115" s="6" t="str">
        <f>"06"</f>
        <v>06</v>
      </c>
      <c r="H115" s="7">
        <v>54.61</v>
      </c>
      <c r="I115" s="8">
        <v>113</v>
      </c>
      <c r="J115" s="8"/>
    </row>
    <row r="116" spans="1:10">
      <c r="A116" s="6">
        <v>114</v>
      </c>
      <c r="B116" s="6" t="str">
        <f t="shared" si="1"/>
        <v>0101</v>
      </c>
      <c r="C116" s="6" t="s">
        <v>11</v>
      </c>
      <c r="D116" s="6" t="str">
        <f>"林仕琼"</f>
        <v>林仕琼</v>
      </c>
      <c r="E116" s="6" t="str">
        <f>"202409210118"</f>
        <v>202409210118</v>
      </c>
      <c r="F116" s="6" t="str">
        <f>"01"</f>
        <v>01</v>
      </c>
      <c r="G116" s="6" t="str">
        <f>"18"</f>
        <v>18</v>
      </c>
      <c r="H116" s="7">
        <v>54.59</v>
      </c>
      <c r="I116" s="8">
        <v>114</v>
      </c>
      <c r="J116" s="8"/>
    </row>
    <row r="117" spans="1:10">
      <c r="A117" s="6">
        <v>115</v>
      </c>
      <c r="B117" s="6" t="str">
        <f t="shared" si="1"/>
        <v>0101</v>
      </c>
      <c r="C117" s="6" t="s">
        <v>11</v>
      </c>
      <c r="D117" s="6" t="str">
        <f>"见耀茹"</f>
        <v>见耀茹</v>
      </c>
      <c r="E117" s="6" t="str">
        <f>"202409210317"</f>
        <v>202409210317</v>
      </c>
      <c r="F117" s="6" t="str">
        <f>"03"</f>
        <v>03</v>
      </c>
      <c r="G117" s="6" t="str">
        <f>"17"</f>
        <v>17</v>
      </c>
      <c r="H117" s="7">
        <v>54.56</v>
      </c>
      <c r="I117" s="8">
        <v>115</v>
      </c>
      <c r="J117" s="8"/>
    </row>
    <row r="118" spans="1:10">
      <c r="A118" s="6">
        <v>116</v>
      </c>
      <c r="B118" s="6" t="str">
        <f t="shared" si="1"/>
        <v>0101</v>
      </c>
      <c r="C118" s="6" t="s">
        <v>11</v>
      </c>
      <c r="D118" s="6" t="str">
        <f>"王静"</f>
        <v>王静</v>
      </c>
      <c r="E118" s="6" t="str">
        <f>"202409210423"</f>
        <v>202409210423</v>
      </c>
      <c r="F118" s="6" t="str">
        <f>"04"</f>
        <v>04</v>
      </c>
      <c r="G118" s="6" t="str">
        <f>"23"</f>
        <v>23</v>
      </c>
      <c r="H118" s="7">
        <v>54.36</v>
      </c>
      <c r="I118" s="8">
        <v>116</v>
      </c>
      <c r="J118" s="8"/>
    </row>
    <row r="119" spans="1:10">
      <c r="A119" s="6">
        <v>117</v>
      </c>
      <c r="B119" s="6" t="str">
        <f t="shared" si="1"/>
        <v>0101</v>
      </c>
      <c r="C119" s="6" t="s">
        <v>11</v>
      </c>
      <c r="D119" s="6" t="str">
        <f>"吴奇"</f>
        <v>吴奇</v>
      </c>
      <c r="E119" s="6" t="str">
        <f>"202409210714"</f>
        <v>202409210714</v>
      </c>
      <c r="F119" s="6" t="str">
        <f>"07"</f>
        <v>07</v>
      </c>
      <c r="G119" s="6" t="str">
        <f>"14"</f>
        <v>14</v>
      </c>
      <c r="H119" s="7">
        <v>54.25</v>
      </c>
      <c r="I119" s="8">
        <v>117</v>
      </c>
      <c r="J119" s="8"/>
    </row>
    <row r="120" spans="1:10">
      <c r="A120" s="6">
        <v>118</v>
      </c>
      <c r="B120" s="6" t="str">
        <f t="shared" si="1"/>
        <v>0101</v>
      </c>
      <c r="C120" s="6" t="s">
        <v>11</v>
      </c>
      <c r="D120" s="6" t="str">
        <f>"吴佳琦"</f>
        <v>吴佳琦</v>
      </c>
      <c r="E120" s="6" t="str">
        <f>"202409210418"</f>
        <v>202409210418</v>
      </c>
      <c r="F120" s="6" t="str">
        <f>"04"</f>
        <v>04</v>
      </c>
      <c r="G120" s="6" t="str">
        <f>"18"</f>
        <v>18</v>
      </c>
      <c r="H120" s="7">
        <v>54.05</v>
      </c>
      <c r="I120" s="8">
        <v>118</v>
      </c>
      <c r="J120" s="8"/>
    </row>
    <row r="121" spans="1:10">
      <c r="A121" s="6">
        <v>119</v>
      </c>
      <c r="B121" s="6" t="str">
        <f t="shared" si="1"/>
        <v>0101</v>
      </c>
      <c r="C121" s="6" t="s">
        <v>11</v>
      </c>
      <c r="D121" s="6" t="str">
        <f>"文诒平"</f>
        <v>文诒平</v>
      </c>
      <c r="E121" s="6" t="str">
        <f>"202409210502"</f>
        <v>202409210502</v>
      </c>
      <c r="F121" s="6" t="str">
        <f>"05"</f>
        <v>05</v>
      </c>
      <c r="G121" s="6" t="str">
        <f>"02"</f>
        <v>02</v>
      </c>
      <c r="H121" s="7">
        <v>53.79</v>
      </c>
      <c r="I121" s="8">
        <v>119</v>
      </c>
      <c r="J121" s="8"/>
    </row>
    <row r="122" spans="1:10">
      <c r="A122" s="6">
        <v>120</v>
      </c>
      <c r="B122" s="6" t="str">
        <f t="shared" si="1"/>
        <v>0101</v>
      </c>
      <c r="C122" s="6" t="s">
        <v>11</v>
      </c>
      <c r="D122" s="6" t="str">
        <f>"王燕玉"</f>
        <v>王燕玉</v>
      </c>
      <c r="E122" s="6" t="str">
        <f>"202409210126"</f>
        <v>202409210126</v>
      </c>
      <c r="F122" s="6" t="str">
        <f>"01"</f>
        <v>01</v>
      </c>
      <c r="G122" s="6" t="str">
        <f>"26"</f>
        <v>26</v>
      </c>
      <c r="H122" s="7">
        <v>53.74</v>
      </c>
      <c r="I122" s="8">
        <v>120</v>
      </c>
      <c r="J122" s="8"/>
    </row>
    <row r="123" spans="1:10">
      <c r="A123" s="6">
        <v>121</v>
      </c>
      <c r="B123" s="6" t="str">
        <f t="shared" si="1"/>
        <v>0101</v>
      </c>
      <c r="C123" s="6" t="s">
        <v>11</v>
      </c>
      <c r="D123" s="6" t="str">
        <f>"符鑫"</f>
        <v>符鑫</v>
      </c>
      <c r="E123" s="6" t="str">
        <f>"202409210222"</f>
        <v>202409210222</v>
      </c>
      <c r="F123" s="6" t="str">
        <f>"02"</f>
        <v>02</v>
      </c>
      <c r="G123" s="6" t="str">
        <f>"22"</f>
        <v>22</v>
      </c>
      <c r="H123" s="7">
        <v>53.74</v>
      </c>
      <c r="I123" s="8">
        <v>121</v>
      </c>
      <c r="J123" s="8"/>
    </row>
    <row r="124" spans="1:10">
      <c r="A124" s="6">
        <v>122</v>
      </c>
      <c r="B124" s="6" t="str">
        <f t="shared" si="1"/>
        <v>0101</v>
      </c>
      <c r="C124" s="6" t="s">
        <v>11</v>
      </c>
      <c r="D124" s="6" t="str">
        <f>"武文"</f>
        <v>武文</v>
      </c>
      <c r="E124" s="6" t="str">
        <f>"202409210511"</f>
        <v>202409210511</v>
      </c>
      <c r="F124" s="6" t="str">
        <f>"05"</f>
        <v>05</v>
      </c>
      <c r="G124" s="6" t="str">
        <f>"11"</f>
        <v>11</v>
      </c>
      <c r="H124" s="7">
        <v>53.73</v>
      </c>
      <c r="I124" s="8">
        <v>122</v>
      </c>
      <c r="J124" s="8"/>
    </row>
    <row r="125" spans="1:10">
      <c r="A125" s="6">
        <v>123</v>
      </c>
      <c r="B125" s="6" t="str">
        <f t="shared" si="1"/>
        <v>0101</v>
      </c>
      <c r="C125" s="6" t="s">
        <v>11</v>
      </c>
      <c r="D125" s="6" t="str">
        <f>"黄小倩"</f>
        <v>黄小倩</v>
      </c>
      <c r="E125" s="6" t="str">
        <f>"202409210510"</f>
        <v>202409210510</v>
      </c>
      <c r="F125" s="6" t="str">
        <f>"05"</f>
        <v>05</v>
      </c>
      <c r="G125" s="6" t="str">
        <f>"10"</f>
        <v>10</v>
      </c>
      <c r="H125" s="7">
        <v>53.72</v>
      </c>
      <c r="I125" s="8">
        <v>123</v>
      </c>
      <c r="J125" s="8"/>
    </row>
    <row r="126" spans="1:10">
      <c r="A126" s="6">
        <v>124</v>
      </c>
      <c r="B126" s="6" t="str">
        <f t="shared" si="1"/>
        <v>0101</v>
      </c>
      <c r="C126" s="6" t="s">
        <v>11</v>
      </c>
      <c r="D126" s="6" t="str">
        <f>"陈玲"</f>
        <v>陈玲</v>
      </c>
      <c r="E126" s="6" t="str">
        <f>"202409210323"</f>
        <v>202409210323</v>
      </c>
      <c r="F126" s="6" t="str">
        <f>"03"</f>
        <v>03</v>
      </c>
      <c r="G126" s="6" t="str">
        <f>"23"</f>
        <v>23</v>
      </c>
      <c r="H126" s="7">
        <v>53.6</v>
      </c>
      <c r="I126" s="8">
        <v>124</v>
      </c>
      <c r="J126" s="8"/>
    </row>
    <row r="127" spans="1:10">
      <c r="A127" s="6">
        <v>125</v>
      </c>
      <c r="B127" s="6" t="str">
        <f t="shared" si="1"/>
        <v>0101</v>
      </c>
      <c r="C127" s="6" t="s">
        <v>11</v>
      </c>
      <c r="D127" s="6" t="str">
        <f>"符玲妹"</f>
        <v>符玲妹</v>
      </c>
      <c r="E127" s="6" t="str">
        <f>"202409210619"</f>
        <v>202409210619</v>
      </c>
      <c r="F127" s="6" t="str">
        <f>"06"</f>
        <v>06</v>
      </c>
      <c r="G127" s="6" t="str">
        <f>"19"</f>
        <v>19</v>
      </c>
      <c r="H127" s="7">
        <v>53.49</v>
      </c>
      <c r="I127" s="8">
        <v>125</v>
      </c>
      <c r="J127" s="8"/>
    </row>
    <row r="128" spans="1:10">
      <c r="A128" s="6">
        <v>126</v>
      </c>
      <c r="B128" s="6" t="str">
        <f t="shared" si="1"/>
        <v>0101</v>
      </c>
      <c r="C128" s="6" t="s">
        <v>11</v>
      </c>
      <c r="D128" s="6" t="str">
        <f>"邓刘琼"</f>
        <v>邓刘琼</v>
      </c>
      <c r="E128" s="6" t="str">
        <f>"202409210425"</f>
        <v>202409210425</v>
      </c>
      <c r="F128" s="6" t="str">
        <f>"04"</f>
        <v>04</v>
      </c>
      <c r="G128" s="6" t="str">
        <f>"25"</f>
        <v>25</v>
      </c>
      <c r="H128" s="7">
        <v>53.46</v>
      </c>
      <c r="I128" s="8">
        <v>126</v>
      </c>
      <c r="J128" s="8"/>
    </row>
    <row r="129" spans="1:10">
      <c r="A129" s="6">
        <v>127</v>
      </c>
      <c r="B129" s="6" t="str">
        <f t="shared" si="1"/>
        <v>0101</v>
      </c>
      <c r="C129" s="6" t="s">
        <v>11</v>
      </c>
      <c r="D129" s="6" t="str">
        <f>"陈冬虹"</f>
        <v>陈冬虹</v>
      </c>
      <c r="E129" s="6" t="str">
        <f>"202409210319"</f>
        <v>202409210319</v>
      </c>
      <c r="F129" s="6" t="str">
        <f>"03"</f>
        <v>03</v>
      </c>
      <c r="G129" s="6" t="str">
        <f>"19"</f>
        <v>19</v>
      </c>
      <c r="H129" s="7">
        <v>53.18</v>
      </c>
      <c r="I129" s="8">
        <v>127</v>
      </c>
      <c r="J129" s="8"/>
    </row>
    <row r="130" spans="1:10">
      <c r="A130" s="6">
        <v>128</v>
      </c>
      <c r="B130" s="6" t="str">
        <f t="shared" si="1"/>
        <v>0101</v>
      </c>
      <c r="C130" s="6" t="s">
        <v>11</v>
      </c>
      <c r="D130" s="6" t="str">
        <f>"黄文蕾"</f>
        <v>黄文蕾</v>
      </c>
      <c r="E130" s="6" t="str">
        <f>"202409210417"</f>
        <v>202409210417</v>
      </c>
      <c r="F130" s="6" t="str">
        <f>"04"</f>
        <v>04</v>
      </c>
      <c r="G130" s="6" t="str">
        <f>"17"</f>
        <v>17</v>
      </c>
      <c r="H130" s="7">
        <v>53.01</v>
      </c>
      <c r="I130" s="8">
        <v>128</v>
      </c>
      <c r="J130" s="8"/>
    </row>
    <row r="131" spans="1:10">
      <c r="A131" s="6">
        <v>129</v>
      </c>
      <c r="B131" s="6" t="str">
        <f t="shared" ref="B131:B194" si="2">"0101"</f>
        <v>0101</v>
      </c>
      <c r="C131" s="6" t="s">
        <v>11</v>
      </c>
      <c r="D131" s="6" t="str">
        <f>"赵瑞瑞"</f>
        <v>赵瑞瑞</v>
      </c>
      <c r="E131" s="6" t="str">
        <f>"202409210526"</f>
        <v>202409210526</v>
      </c>
      <c r="F131" s="6" t="str">
        <f>"05"</f>
        <v>05</v>
      </c>
      <c r="G131" s="6" t="str">
        <f>"26"</f>
        <v>26</v>
      </c>
      <c r="H131" s="7">
        <v>52.94</v>
      </c>
      <c r="I131" s="8">
        <v>129</v>
      </c>
      <c r="J131" s="8"/>
    </row>
    <row r="132" spans="1:10">
      <c r="A132" s="6">
        <v>130</v>
      </c>
      <c r="B132" s="6" t="str">
        <f t="shared" si="2"/>
        <v>0101</v>
      </c>
      <c r="C132" s="6" t="s">
        <v>11</v>
      </c>
      <c r="D132" s="6" t="str">
        <f>"王瑞菊"</f>
        <v>王瑞菊</v>
      </c>
      <c r="E132" s="6" t="str">
        <f>"202409210707"</f>
        <v>202409210707</v>
      </c>
      <c r="F132" s="6" t="str">
        <f>"07"</f>
        <v>07</v>
      </c>
      <c r="G132" s="6" t="str">
        <f>"07"</f>
        <v>07</v>
      </c>
      <c r="H132" s="7">
        <v>52.46</v>
      </c>
      <c r="I132" s="8">
        <v>130</v>
      </c>
      <c r="J132" s="8"/>
    </row>
    <row r="133" spans="1:10">
      <c r="A133" s="6">
        <v>131</v>
      </c>
      <c r="B133" s="6" t="str">
        <f t="shared" si="2"/>
        <v>0101</v>
      </c>
      <c r="C133" s="6" t="s">
        <v>11</v>
      </c>
      <c r="D133" s="6" t="str">
        <f>"王兆浪"</f>
        <v>王兆浪</v>
      </c>
      <c r="E133" s="6" t="str">
        <f>"202409210414"</f>
        <v>202409210414</v>
      </c>
      <c r="F133" s="6" t="str">
        <f>"04"</f>
        <v>04</v>
      </c>
      <c r="G133" s="6" t="str">
        <f>"14"</f>
        <v>14</v>
      </c>
      <c r="H133" s="7">
        <v>52.38</v>
      </c>
      <c r="I133" s="8">
        <v>131</v>
      </c>
      <c r="J133" s="8"/>
    </row>
    <row r="134" spans="1:10">
      <c r="A134" s="6">
        <v>132</v>
      </c>
      <c r="B134" s="6" t="str">
        <f t="shared" si="2"/>
        <v>0101</v>
      </c>
      <c r="C134" s="6" t="s">
        <v>11</v>
      </c>
      <c r="D134" s="6" t="str">
        <f>"万蕊蕊"</f>
        <v>万蕊蕊</v>
      </c>
      <c r="E134" s="6" t="str">
        <f>"202409210620"</f>
        <v>202409210620</v>
      </c>
      <c r="F134" s="6" t="str">
        <f>"06"</f>
        <v>06</v>
      </c>
      <c r="G134" s="6" t="str">
        <f>"20"</f>
        <v>20</v>
      </c>
      <c r="H134" s="7">
        <v>51.9</v>
      </c>
      <c r="I134" s="8">
        <v>132</v>
      </c>
      <c r="J134" s="8"/>
    </row>
    <row r="135" spans="1:10">
      <c r="A135" s="6">
        <v>133</v>
      </c>
      <c r="B135" s="6" t="str">
        <f t="shared" si="2"/>
        <v>0101</v>
      </c>
      <c r="C135" s="6" t="s">
        <v>11</v>
      </c>
      <c r="D135" s="6" t="str">
        <f>"韦丽果"</f>
        <v>韦丽果</v>
      </c>
      <c r="E135" s="6" t="str">
        <f>"202409210617"</f>
        <v>202409210617</v>
      </c>
      <c r="F135" s="6" t="str">
        <f>"06"</f>
        <v>06</v>
      </c>
      <c r="G135" s="6" t="str">
        <f>"17"</f>
        <v>17</v>
      </c>
      <c r="H135" s="7">
        <v>51.82</v>
      </c>
      <c r="I135" s="8">
        <v>133</v>
      </c>
      <c r="J135" s="8"/>
    </row>
    <row r="136" spans="1:10">
      <c r="A136" s="6">
        <v>134</v>
      </c>
      <c r="B136" s="6" t="str">
        <f t="shared" si="2"/>
        <v>0101</v>
      </c>
      <c r="C136" s="6" t="s">
        <v>11</v>
      </c>
      <c r="D136" s="6" t="str">
        <f>"吉秀玉"</f>
        <v>吉秀玉</v>
      </c>
      <c r="E136" s="6" t="str">
        <f>"202409210624"</f>
        <v>202409210624</v>
      </c>
      <c r="F136" s="6" t="str">
        <f>"06"</f>
        <v>06</v>
      </c>
      <c r="G136" s="6" t="str">
        <f>"24"</f>
        <v>24</v>
      </c>
      <c r="H136" s="7">
        <v>51.59</v>
      </c>
      <c r="I136" s="8">
        <v>134</v>
      </c>
      <c r="J136" s="8"/>
    </row>
    <row r="137" spans="1:10">
      <c r="A137" s="6">
        <v>135</v>
      </c>
      <c r="B137" s="6" t="str">
        <f t="shared" si="2"/>
        <v>0101</v>
      </c>
      <c r="C137" s="6" t="s">
        <v>11</v>
      </c>
      <c r="D137" s="6" t="str">
        <f>"黄大燕"</f>
        <v>黄大燕</v>
      </c>
      <c r="E137" s="6" t="str">
        <f>"202409210421"</f>
        <v>202409210421</v>
      </c>
      <c r="F137" s="6" t="str">
        <f>"04"</f>
        <v>04</v>
      </c>
      <c r="G137" s="6" t="str">
        <f>"21"</f>
        <v>21</v>
      </c>
      <c r="H137" s="7">
        <v>51.41</v>
      </c>
      <c r="I137" s="8">
        <v>135</v>
      </c>
      <c r="J137" s="8"/>
    </row>
    <row r="138" spans="1:10">
      <c r="A138" s="6">
        <v>136</v>
      </c>
      <c r="B138" s="6" t="str">
        <f t="shared" si="2"/>
        <v>0101</v>
      </c>
      <c r="C138" s="6" t="s">
        <v>11</v>
      </c>
      <c r="D138" s="6" t="str">
        <f>"陈章坤"</f>
        <v>陈章坤</v>
      </c>
      <c r="E138" s="6" t="str">
        <f>"202409210226"</f>
        <v>202409210226</v>
      </c>
      <c r="F138" s="6" t="str">
        <f>"02"</f>
        <v>02</v>
      </c>
      <c r="G138" s="6" t="str">
        <f>"26"</f>
        <v>26</v>
      </c>
      <c r="H138" s="7">
        <v>51.19</v>
      </c>
      <c r="I138" s="8">
        <v>136</v>
      </c>
      <c r="J138" s="8"/>
    </row>
    <row r="139" spans="1:10">
      <c r="A139" s="6">
        <v>137</v>
      </c>
      <c r="B139" s="6" t="str">
        <f t="shared" si="2"/>
        <v>0101</v>
      </c>
      <c r="C139" s="6" t="s">
        <v>11</v>
      </c>
      <c r="D139" s="6" t="str">
        <f>"周小珍"</f>
        <v>周小珍</v>
      </c>
      <c r="E139" s="6" t="str">
        <f>"202409210518"</f>
        <v>202409210518</v>
      </c>
      <c r="F139" s="6" t="str">
        <f>"05"</f>
        <v>05</v>
      </c>
      <c r="G139" s="6" t="str">
        <f>"18"</f>
        <v>18</v>
      </c>
      <c r="H139" s="7">
        <v>50.6</v>
      </c>
      <c r="I139" s="8">
        <v>137</v>
      </c>
      <c r="J139" s="8"/>
    </row>
    <row r="140" spans="1:10">
      <c r="A140" s="6">
        <v>138</v>
      </c>
      <c r="B140" s="6" t="str">
        <f t="shared" si="2"/>
        <v>0101</v>
      </c>
      <c r="C140" s="6" t="s">
        <v>11</v>
      </c>
      <c r="D140" s="6" t="str">
        <f>"陈雪梅"</f>
        <v>陈雪梅</v>
      </c>
      <c r="E140" s="6" t="str">
        <f>"202409210214"</f>
        <v>202409210214</v>
      </c>
      <c r="F140" s="6" t="str">
        <f>"02"</f>
        <v>02</v>
      </c>
      <c r="G140" s="6" t="str">
        <f>"14"</f>
        <v>14</v>
      </c>
      <c r="H140" s="7">
        <v>50.42</v>
      </c>
      <c r="I140" s="8">
        <v>138</v>
      </c>
      <c r="J140" s="8"/>
    </row>
    <row r="141" spans="1:10">
      <c r="A141" s="6">
        <v>139</v>
      </c>
      <c r="B141" s="6" t="str">
        <f t="shared" si="2"/>
        <v>0101</v>
      </c>
      <c r="C141" s="6" t="s">
        <v>11</v>
      </c>
      <c r="D141" s="6" t="str">
        <f>"唐丽"</f>
        <v>唐丽</v>
      </c>
      <c r="E141" s="6" t="str">
        <f>"202409210419"</f>
        <v>202409210419</v>
      </c>
      <c r="F141" s="6" t="str">
        <f>"04"</f>
        <v>04</v>
      </c>
      <c r="G141" s="6" t="str">
        <f>"19"</f>
        <v>19</v>
      </c>
      <c r="H141" s="7">
        <v>50.33</v>
      </c>
      <c r="I141" s="8">
        <v>139</v>
      </c>
      <c r="J141" s="8"/>
    </row>
    <row r="142" spans="1:10">
      <c r="A142" s="6">
        <v>140</v>
      </c>
      <c r="B142" s="6" t="str">
        <f t="shared" si="2"/>
        <v>0101</v>
      </c>
      <c r="C142" s="6" t="s">
        <v>11</v>
      </c>
      <c r="D142" s="6" t="str">
        <f>"吴倩"</f>
        <v>吴倩</v>
      </c>
      <c r="E142" s="6" t="str">
        <f>"202409210208"</f>
        <v>202409210208</v>
      </c>
      <c r="F142" s="6" t="str">
        <f>"02"</f>
        <v>02</v>
      </c>
      <c r="G142" s="6" t="str">
        <f>"08"</f>
        <v>08</v>
      </c>
      <c r="H142" s="7">
        <v>49.82</v>
      </c>
      <c r="I142" s="8">
        <v>140</v>
      </c>
      <c r="J142" s="8"/>
    </row>
    <row r="143" spans="1:10">
      <c r="A143" s="6">
        <v>141</v>
      </c>
      <c r="B143" s="6" t="str">
        <f t="shared" si="2"/>
        <v>0101</v>
      </c>
      <c r="C143" s="6" t="s">
        <v>11</v>
      </c>
      <c r="D143" s="6" t="str">
        <f>"何菁霜"</f>
        <v>何菁霜</v>
      </c>
      <c r="E143" s="6" t="str">
        <f>"202409210429"</f>
        <v>202409210429</v>
      </c>
      <c r="F143" s="6" t="str">
        <f>"04"</f>
        <v>04</v>
      </c>
      <c r="G143" s="6" t="str">
        <f>"29"</f>
        <v>29</v>
      </c>
      <c r="H143" s="7">
        <v>49.59</v>
      </c>
      <c r="I143" s="8">
        <v>141</v>
      </c>
      <c r="J143" s="8"/>
    </row>
    <row r="144" spans="1:10">
      <c r="A144" s="6">
        <v>142</v>
      </c>
      <c r="B144" s="6" t="str">
        <f t="shared" si="2"/>
        <v>0101</v>
      </c>
      <c r="C144" s="6" t="s">
        <v>11</v>
      </c>
      <c r="D144" s="6" t="str">
        <f>"冼艳文"</f>
        <v>冼艳文</v>
      </c>
      <c r="E144" s="6" t="str">
        <f>"202409210606"</f>
        <v>202409210606</v>
      </c>
      <c r="F144" s="6" t="str">
        <f>"06"</f>
        <v>06</v>
      </c>
      <c r="G144" s="6" t="str">
        <f>"06"</f>
        <v>06</v>
      </c>
      <c r="H144" s="7">
        <v>49.43</v>
      </c>
      <c r="I144" s="8">
        <v>142</v>
      </c>
      <c r="J144" s="8"/>
    </row>
    <row r="145" spans="1:10">
      <c r="A145" s="6">
        <v>143</v>
      </c>
      <c r="B145" s="6" t="str">
        <f t="shared" si="2"/>
        <v>0101</v>
      </c>
      <c r="C145" s="6" t="s">
        <v>11</v>
      </c>
      <c r="D145" s="6" t="str">
        <f>"张裕玉"</f>
        <v>张裕玉</v>
      </c>
      <c r="E145" s="6" t="str">
        <f>"202409210303"</f>
        <v>202409210303</v>
      </c>
      <c r="F145" s="6" t="str">
        <f>"03"</f>
        <v>03</v>
      </c>
      <c r="G145" s="6" t="str">
        <f>"03"</f>
        <v>03</v>
      </c>
      <c r="H145" s="7">
        <v>49.18</v>
      </c>
      <c r="I145" s="8">
        <v>143</v>
      </c>
      <c r="J145" s="8"/>
    </row>
    <row r="146" spans="1:10">
      <c r="A146" s="6">
        <v>144</v>
      </c>
      <c r="B146" s="6" t="str">
        <f t="shared" si="2"/>
        <v>0101</v>
      </c>
      <c r="C146" s="6" t="s">
        <v>11</v>
      </c>
      <c r="D146" s="6" t="str">
        <f>"韩露"</f>
        <v>韩露</v>
      </c>
      <c r="E146" s="6" t="str">
        <f>"202409210327"</f>
        <v>202409210327</v>
      </c>
      <c r="F146" s="6" t="str">
        <f>"03"</f>
        <v>03</v>
      </c>
      <c r="G146" s="6" t="str">
        <f>"27"</f>
        <v>27</v>
      </c>
      <c r="H146" s="7">
        <v>49.14</v>
      </c>
      <c r="I146" s="8">
        <v>144</v>
      </c>
      <c r="J146" s="8"/>
    </row>
    <row r="147" spans="1:10">
      <c r="A147" s="6">
        <v>145</v>
      </c>
      <c r="B147" s="6" t="str">
        <f t="shared" si="2"/>
        <v>0101</v>
      </c>
      <c r="C147" s="6" t="s">
        <v>11</v>
      </c>
      <c r="D147" s="6" t="str">
        <f>"刘秀玉"</f>
        <v>刘秀玉</v>
      </c>
      <c r="E147" s="6" t="str">
        <f>"202409210517"</f>
        <v>202409210517</v>
      </c>
      <c r="F147" s="6" t="str">
        <f>"05"</f>
        <v>05</v>
      </c>
      <c r="G147" s="6" t="str">
        <f>"17"</f>
        <v>17</v>
      </c>
      <c r="H147" s="7">
        <v>48.68</v>
      </c>
      <c r="I147" s="8">
        <v>145</v>
      </c>
      <c r="J147" s="8"/>
    </row>
    <row r="148" spans="1:10">
      <c r="A148" s="6">
        <v>146</v>
      </c>
      <c r="B148" s="6" t="str">
        <f t="shared" si="2"/>
        <v>0101</v>
      </c>
      <c r="C148" s="6" t="s">
        <v>11</v>
      </c>
      <c r="D148" s="6" t="str">
        <f>"郑海涛"</f>
        <v>郑海涛</v>
      </c>
      <c r="E148" s="6" t="str">
        <f>"202409210330"</f>
        <v>202409210330</v>
      </c>
      <c r="F148" s="6" t="str">
        <f>"03"</f>
        <v>03</v>
      </c>
      <c r="G148" s="6" t="str">
        <f>"30"</f>
        <v>30</v>
      </c>
      <c r="H148" s="7">
        <v>47.6</v>
      </c>
      <c r="I148" s="8">
        <v>146</v>
      </c>
      <c r="J148" s="8"/>
    </row>
    <row r="149" spans="1:10">
      <c r="A149" s="6">
        <v>147</v>
      </c>
      <c r="B149" s="6" t="str">
        <f t="shared" si="2"/>
        <v>0101</v>
      </c>
      <c r="C149" s="6" t="s">
        <v>11</v>
      </c>
      <c r="D149" s="6" t="str">
        <f>"张涛"</f>
        <v>张涛</v>
      </c>
      <c r="E149" s="6" t="str">
        <f>"202409210613"</f>
        <v>202409210613</v>
      </c>
      <c r="F149" s="6" t="str">
        <f>"06"</f>
        <v>06</v>
      </c>
      <c r="G149" s="6" t="str">
        <f>"13"</f>
        <v>13</v>
      </c>
      <c r="H149" s="7">
        <v>47.48</v>
      </c>
      <c r="I149" s="8">
        <v>147</v>
      </c>
      <c r="J149" s="8"/>
    </row>
    <row r="150" spans="1:10">
      <c r="A150" s="6">
        <v>148</v>
      </c>
      <c r="B150" s="6" t="str">
        <f t="shared" si="2"/>
        <v>0101</v>
      </c>
      <c r="C150" s="6" t="s">
        <v>11</v>
      </c>
      <c r="D150" s="6" t="str">
        <f>"黄婕"</f>
        <v>黄婕</v>
      </c>
      <c r="E150" s="6" t="str">
        <f>"202409210221"</f>
        <v>202409210221</v>
      </c>
      <c r="F150" s="6" t="str">
        <f>"02"</f>
        <v>02</v>
      </c>
      <c r="G150" s="6" t="str">
        <f>"21"</f>
        <v>21</v>
      </c>
      <c r="H150" s="7">
        <v>47.45</v>
      </c>
      <c r="I150" s="8">
        <v>148</v>
      </c>
      <c r="J150" s="8"/>
    </row>
    <row r="151" spans="1:10">
      <c r="A151" s="6">
        <v>149</v>
      </c>
      <c r="B151" s="6" t="str">
        <f t="shared" si="2"/>
        <v>0101</v>
      </c>
      <c r="C151" s="6" t="s">
        <v>11</v>
      </c>
      <c r="D151" s="6" t="str">
        <f>"沈三妹"</f>
        <v>沈三妹</v>
      </c>
      <c r="E151" s="6" t="str">
        <f>"202409210625"</f>
        <v>202409210625</v>
      </c>
      <c r="F151" s="6" t="str">
        <f>"06"</f>
        <v>06</v>
      </c>
      <c r="G151" s="6" t="str">
        <f>"25"</f>
        <v>25</v>
      </c>
      <c r="H151" s="7">
        <v>47.1</v>
      </c>
      <c r="I151" s="8">
        <v>149</v>
      </c>
      <c r="J151" s="8"/>
    </row>
    <row r="152" spans="1:10">
      <c r="A152" s="6">
        <v>150</v>
      </c>
      <c r="B152" s="6" t="str">
        <f t="shared" si="2"/>
        <v>0101</v>
      </c>
      <c r="C152" s="6" t="s">
        <v>11</v>
      </c>
      <c r="D152" s="6" t="str">
        <f>"陈娜"</f>
        <v>陈娜</v>
      </c>
      <c r="E152" s="6" t="str">
        <f>"202409210530"</f>
        <v>202409210530</v>
      </c>
      <c r="F152" s="6" t="str">
        <f>"05"</f>
        <v>05</v>
      </c>
      <c r="G152" s="6" t="str">
        <f>"30"</f>
        <v>30</v>
      </c>
      <c r="H152" s="7">
        <v>46.65</v>
      </c>
      <c r="I152" s="8">
        <v>150</v>
      </c>
      <c r="J152" s="8"/>
    </row>
    <row r="153" spans="1:10">
      <c r="A153" s="6">
        <v>151</v>
      </c>
      <c r="B153" s="6" t="str">
        <f t="shared" si="2"/>
        <v>0101</v>
      </c>
      <c r="C153" s="6" t="s">
        <v>11</v>
      </c>
      <c r="D153" s="6" t="str">
        <f>"邢靖雯"</f>
        <v>邢靖雯</v>
      </c>
      <c r="E153" s="6" t="str">
        <f>"202409210428"</f>
        <v>202409210428</v>
      </c>
      <c r="F153" s="6" t="str">
        <f>"04"</f>
        <v>04</v>
      </c>
      <c r="G153" s="6" t="str">
        <f>"28"</f>
        <v>28</v>
      </c>
      <c r="H153" s="7">
        <v>46.27</v>
      </c>
      <c r="I153" s="8">
        <v>151</v>
      </c>
      <c r="J153" s="8"/>
    </row>
    <row r="154" spans="1:10">
      <c r="A154" s="6">
        <v>152</v>
      </c>
      <c r="B154" s="6" t="str">
        <f t="shared" si="2"/>
        <v>0101</v>
      </c>
      <c r="C154" s="6" t="s">
        <v>11</v>
      </c>
      <c r="D154" s="6" t="str">
        <f>"黄亚妹"</f>
        <v>黄亚妹</v>
      </c>
      <c r="E154" s="6" t="str">
        <f>"202409210206"</f>
        <v>202409210206</v>
      </c>
      <c r="F154" s="6" t="str">
        <f>"02"</f>
        <v>02</v>
      </c>
      <c r="G154" s="6" t="str">
        <f>"06"</f>
        <v>06</v>
      </c>
      <c r="H154" s="7">
        <v>46.19</v>
      </c>
      <c r="I154" s="8">
        <v>152</v>
      </c>
      <c r="J154" s="8"/>
    </row>
    <row r="155" spans="1:10">
      <c r="A155" s="6">
        <v>153</v>
      </c>
      <c r="B155" s="6" t="str">
        <f t="shared" si="2"/>
        <v>0101</v>
      </c>
      <c r="C155" s="6" t="s">
        <v>11</v>
      </c>
      <c r="D155" s="6" t="str">
        <f>"王坚"</f>
        <v>王坚</v>
      </c>
      <c r="E155" s="6" t="str">
        <f>"202409210410"</f>
        <v>202409210410</v>
      </c>
      <c r="F155" s="6" t="str">
        <f>"04"</f>
        <v>04</v>
      </c>
      <c r="G155" s="6" t="str">
        <f>"10"</f>
        <v>10</v>
      </c>
      <c r="H155" s="7">
        <v>46.11</v>
      </c>
      <c r="I155" s="8">
        <v>153</v>
      </c>
      <c r="J155" s="8"/>
    </row>
    <row r="156" spans="1:10">
      <c r="A156" s="6">
        <v>154</v>
      </c>
      <c r="B156" s="6" t="str">
        <f t="shared" si="2"/>
        <v>0101</v>
      </c>
      <c r="C156" s="6" t="s">
        <v>11</v>
      </c>
      <c r="D156" s="6" t="str">
        <f>"周俊池"</f>
        <v>周俊池</v>
      </c>
      <c r="E156" s="6" t="str">
        <f>"202409210122"</f>
        <v>202409210122</v>
      </c>
      <c r="F156" s="6" t="str">
        <f>"01"</f>
        <v>01</v>
      </c>
      <c r="G156" s="6" t="str">
        <f>"22"</f>
        <v>22</v>
      </c>
      <c r="H156" s="7">
        <v>46.09</v>
      </c>
      <c r="I156" s="8">
        <v>154</v>
      </c>
      <c r="J156" s="8"/>
    </row>
    <row r="157" spans="1:10">
      <c r="A157" s="6">
        <v>155</v>
      </c>
      <c r="B157" s="6" t="str">
        <f t="shared" si="2"/>
        <v>0101</v>
      </c>
      <c r="C157" s="6" t="s">
        <v>11</v>
      </c>
      <c r="D157" s="6" t="str">
        <f>"刘菲菲"</f>
        <v>刘菲菲</v>
      </c>
      <c r="E157" s="6" t="str">
        <f>"202409210614"</f>
        <v>202409210614</v>
      </c>
      <c r="F157" s="6" t="str">
        <f>"06"</f>
        <v>06</v>
      </c>
      <c r="G157" s="6" t="str">
        <f>"14"</f>
        <v>14</v>
      </c>
      <c r="H157" s="7">
        <v>45.62</v>
      </c>
      <c r="I157" s="8">
        <v>155</v>
      </c>
      <c r="J157" s="8"/>
    </row>
    <row r="158" spans="1:10">
      <c r="A158" s="6">
        <v>156</v>
      </c>
      <c r="B158" s="6" t="str">
        <f t="shared" si="2"/>
        <v>0101</v>
      </c>
      <c r="C158" s="6" t="s">
        <v>11</v>
      </c>
      <c r="D158" s="6" t="str">
        <f>"林升寿"</f>
        <v>林升寿</v>
      </c>
      <c r="E158" s="6" t="str">
        <f>"202409210207"</f>
        <v>202409210207</v>
      </c>
      <c r="F158" s="6" t="str">
        <f>"02"</f>
        <v>02</v>
      </c>
      <c r="G158" s="6" t="str">
        <f>"07"</f>
        <v>07</v>
      </c>
      <c r="H158" s="7">
        <v>45.55</v>
      </c>
      <c r="I158" s="8">
        <v>156</v>
      </c>
      <c r="J158" s="8"/>
    </row>
    <row r="159" spans="1:10">
      <c r="A159" s="6">
        <v>157</v>
      </c>
      <c r="B159" s="6" t="str">
        <f t="shared" si="2"/>
        <v>0101</v>
      </c>
      <c r="C159" s="6" t="s">
        <v>11</v>
      </c>
      <c r="D159" s="6" t="str">
        <f>"符祯祯"</f>
        <v>符祯祯</v>
      </c>
      <c r="E159" s="6" t="str">
        <f>"202409210524"</f>
        <v>202409210524</v>
      </c>
      <c r="F159" s="6" t="str">
        <f>"05"</f>
        <v>05</v>
      </c>
      <c r="G159" s="6" t="str">
        <f>"24"</f>
        <v>24</v>
      </c>
      <c r="H159" s="7">
        <v>45.47</v>
      </c>
      <c r="I159" s="8">
        <v>157</v>
      </c>
      <c r="J159" s="8"/>
    </row>
    <row r="160" spans="1:10">
      <c r="A160" s="6">
        <v>158</v>
      </c>
      <c r="B160" s="6" t="str">
        <f t="shared" si="2"/>
        <v>0101</v>
      </c>
      <c r="C160" s="6" t="s">
        <v>11</v>
      </c>
      <c r="D160" s="6" t="str">
        <f>"黄雅幸"</f>
        <v>黄雅幸</v>
      </c>
      <c r="E160" s="6" t="str">
        <f>"202409210315"</f>
        <v>202409210315</v>
      </c>
      <c r="F160" s="6" t="str">
        <f>"03"</f>
        <v>03</v>
      </c>
      <c r="G160" s="6" t="str">
        <f>"15"</f>
        <v>15</v>
      </c>
      <c r="H160" s="7">
        <v>45.12</v>
      </c>
      <c r="I160" s="8">
        <v>158</v>
      </c>
      <c r="J160" s="8"/>
    </row>
    <row r="161" spans="1:10">
      <c r="A161" s="6">
        <v>159</v>
      </c>
      <c r="B161" s="6" t="str">
        <f t="shared" si="2"/>
        <v>0101</v>
      </c>
      <c r="C161" s="6" t="s">
        <v>11</v>
      </c>
      <c r="D161" s="6" t="str">
        <f>"朱多丽"</f>
        <v>朱多丽</v>
      </c>
      <c r="E161" s="6" t="str">
        <f>"202409210515"</f>
        <v>202409210515</v>
      </c>
      <c r="F161" s="6" t="str">
        <f>"05"</f>
        <v>05</v>
      </c>
      <c r="G161" s="6" t="str">
        <f>"15"</f>
        <v>15</v>
      </c>
      <c r="H161" s="7">
        <v>44.98</v>
      </c>
      <c r="I161" s="8">
        <v>159</v>
      </c>
      <c r="J161" s="8"/>
    </row>
    <row r="162" spans="1:10">
      <c r="A162" s="6">
        <v>160</v>
      </c>
      <c r="B162" s="6" t="str">
        <f t="shared" si="2"/>
        <v>0101</v>
      </c>
      <c r="C162" s="6" t="s">
        <v>11</v>
      </c>
      <c r="D162" s="6" t="str">
        <f>"高娜"</f>
        <v>高娜</v>
      </c>
      <c r="E162" s="6" t="str">
        <f>"202409210427"</f>
        <v>202409210427</v>
      </c>
      <c r="F162" s="6" t="str">
        <f>"04"</f>
        <v>04</v>
      </c>
      <c r="G162" s="6" t="str">
        <f>"27"</f>
        <v>27</v>
      </c>
      <c r="H162" s="7">
        <v>44.84</v>
      </c>
      <c r="I162" s="8">
        <v>160</v>
      </c>
      <c r="J162" s="8"/>
    </row>
    <row r="163" spans="1:10">
      <c r="A163" s="6">
        <v>161</v>
      </c>
      <c r="B163" s="6" t="str">
        <f t="shared" si="2"/>
        <v>0101</v>
      </c>
      <c r="C163" s="6" t="s">
        <v>11</v>
      </c>
      <c r="D163" s="6" t="str">
        <f>"范琳珏"</f>
        <v>范琳珏</v>
      </c>
      <c r="E163" s="6" t="str">
        <f>"202409210609"</f>
        <v>202409210609</v>
      </c>
      <c r="F163" s="6" t="str">
        <f>"06"</f>
        <v>06</v>
      </c>
      <c r="G163" s="6" t="str">
        <f>"09"</f>
        <v>09</v>
      </c>
      <c r="H163" s="7">
        <v>44.77</v>
      </c>
      <c r="I163" s="8">
        <v>161</v>
      </c>
      <c r="J163" s="8"/>
    </row>
    <row r="164" spans="1:10">
      <c r="A164" s="6">
        <v>162</v>
      </c>
      <c r="B164" s="6" t="str">
        <f t="shared" si="2"/>
        <v>0101</v>
      </c>
      <c r="C164" s="6" t="s">
        <v>11</v>
      </c>
      <c r="D164" s="6" t="str">
        <f>"王晓慧"</f>
        <v>王晓慧</v>
      </c>
      <c r="E164" s="6" t="str">
        <f>"202409210302"</f>
        <v>202409210302</v>
      </c>
      <c r="F164" s="6" t="str">
        <f>"03"</f>
        <v>03</v>
      </c>
      <c r="G164" s="6" t="str">
        <f>"02"</f>
        <v>02</v>
      </c>
      <c r="H164" s="7">
        <v>44.7</v>
      </c>
      <c r="I164" s="8">
        <v>162</v>
      </c>
      <c r="J164" s="8"/>
    </row>
    <row r="165" spans="1:10">
      <c r="A165" s="6">
        <v>163</v>
      </c>
      <c r="B165" s="6" t="str">
        <f t="shared" si="2"/>
        <v>0101</v>
      </c>
      <c r="C165" s="6" t="s">
        <v>11</v>
      </c>
      <c r="D165" s="6" t="str">
        <f>"李雨静"</f>
        <v>李雨静</v>
      </c>
      <c r="E165" s="6" t="str">
        <f>"202409210101"</f>
        <v>202409210101</v>
      </c>
      <c r="F165" s="6" t="str">
        <f>"01"</f>
        <v>01</v>
      </c>
      <c r="G165" s="6" t="str">
        <f>"01"</f>
        <v>01</v>
      </c>
      <c r="H165" s="7">
        <v>44.42</v>
      </c>
      <c r="I165" s="8">
        <v>163</v>
      </c>
      <c r="J165" s="8"/>
    </row>
    <row r="166" spans="1:10">
      <c r="A166" s="6">
        <v>164</v>
      </c>
      <c r="B166" s="6" t="str">
        <f t="shared" si="2"/>
        <v>0101</v>
      </c>
      <c r="C166" s="6" t="s">
        <v>11</v>
      </c>
      <c r="D166" s="6" t="str">
        <f>"赵咪"</f>
        <v>赵咪</v>
      </c>
      <c r="E166" s="6" t="str">
        <f>"202409210628"</f>
        <v>202409210628</v>
      </c>
      <c r="F166" s="6" t="str">
        <f>"06"</f>
        <v>06</v>
      </c>
      <c r="G166" s="6" t="str">
        <f>"28"</f>
        <v>28</v>
      </c>
      <c r="H166" s="7">
        <v>42.32</v>
      </c>
      <c r="I166" s="8">
        <v>164</v>
      </c>
      <c r="J166" s="8"/>
    </row>
    <row r="167" spans="1:10">
      <c r="A167" s="6">
        <v>165</v>
      </c>
      <c r="B167" s="6" t="str">
        <f t="shared" si="2"/>
        <v>0101</v>
      </c>
      <c r="C167" s="6" t="s">
        <v>11</v>
      </c>
      <c r="D167" s="6" t="str">
        <f>"黄金齐"</f>
        <v>黄金齐</v>
      </c>
      <c r="E167" s="6" t="str">
        <f>"202409210705"</f>
        <v>202409210705</v>
      </c>
      <c r="F167" s="6" t="str">
        <f>"07"</f>
        <v>07</v>
      </c>
      <c r="G167" s="6" t="str">
        <f>"05"</f>
        <v>05</v>
      </c>
      <c r="H167" s="7">
        <v>42.29</v>
      </c>
      <c r="I167" s="8">
        <v>165</v>
      </c>
      <c r="J167" s="8"/>
    </row>
    <row r="168" spans="1:10">
      <c r="A168" s="6">
        <v>166</v>
      </c>
      <c r="B168" s="6" t="str">
        <f t="shared" si="2"/>
        <v>0101</v>
      </c>
      <c r="C168" s="6" t="s">
        <v>11</v>
      </c>
      <c r="D168" s="6" t="str">
        <f>"冯娇慧"</f>
        <v>冯娇慧</v>
      </c>
      <c r="E168" s="6" t="str">
        <f>"202409210224"</f>
        <v>202409210224</v>
      </c>
      <c r="F168" s="6" t="str">
        <f>"02"</f>
        <v>02</v>
      </c>
      <c r="G168" s="6" t="str">
        <f>"24"</f>
        <v>24</v>
      </c>
      <c r="H168" s="7">
        <v>41.74</v>
      </c>
      <c r="I168" s="8">
        <v>166</v>
      </c>
      <c r="J168" s="8"/>
    </row>
    <row r="169" spans="1:10">
      <c r="A169" s="6">
        <v>167</v>
      </c>
      <c r="B169" s="6" t="str">
        <f t="shared" si="2"/>
        <v>0101</v>
      </c>
      <c r="C169" s="6" t="s">
        <v>11</v>
      </c>
      <c r="D169" s="6" t="str">
        <f>"李亚霞"</f>
        <v>李亚霞</v>
      </c>
      <c r="E169" s="6" t="str">
        <f>"202409210618"</f>
        <v>202409210618</v>
      </c>
      <c r="F169" s="6" t="str">
        <f>"06"</f>
        <v>06</v>
      </c>
      <c r="G169" s="6" t="str">
        <f>"18"</f>
        <v>18</v>
      </c>
      <c r="H169" s="7">
        <v>40</v>
      </c>
      <c r="I169" s="8">
        <v>167</v>
      </c>
      <c r="J169" s="8"/>
    </row>
    <row r="170" spans="1:10">
      <c r="A170" s="6">
        <v>168</v>
      </c>
      <c r="B170" s="6" t="str">
        <f t="shared" si="2"/>
        <v>0101</v>
      </c>
      <c r="C170" s="6" t="s">
        <v>11</v>
      </c>
      <c r="D170" s="6" t="str">
        <f>"蔡碧燕"</f>
        <v>蔡碧燕</v>
      </c>
      <c r="E170" s="6" t="str">
        <f>"202409210616"</f>
        <v>202409210616</v>
      </c>
      <c r="F170" s="6" t="str">
        <f>"06"</f>
        <v>06</v>
      </c>
      <c r="G170" s="6" t="str">
        <f>"16"</f>
        <v>16</v>
      </c>
      <c r="H170" s="7">
        <v>37.6</v>
      </c>
      <c r="I170" s="8">
        <v>168</v>
      </c>
      <c r="J170" s="8"/>
    </row>
    <row r="171" spans="1:10">
      <c r="A171" s="6">
        <v>169</v>
      </c>
      <c r="B171" s="6" t="str">
        <f t="shared" si="2"/>
        <v>0101</v>
      </c>
      <c r="C171" s="6" t="s">
        <v>11</v>
      </c>
      <c r="D171" s="6" t="str">
        <f>"林青采"</f>
        <v>林青采</v>
      </c>
      <c r="E171" s="6" t="str">
        <f>"202409210106"</f>
        <v>202409210106</v>
      </c>
      <c r="F171" s="6" t="str">
        <f>"01"</f>
        <v>01</v>
      </c>
      <c r="G171" s="6" t="str">
        <f>"06"</f>
        <v>06</v>
      </c>
      <c r="H171" s="7"/>
      <c r="I171" s="8"/>
      <c r="J171" s="8" t="s">
        <v>12</v>
      </c>
    </row>
    <row r="172" spans="1:10">
      <c r="A172" s="6">
        <v>170</v>
      </c>
      <c r="B172" s="6" t="str">
        <f t="shared" si="2"/>
        <v>0101</v>
      </c>
      <c r="C172" s="6" t="s">
        <v>11</v>
      </c>
      <c r="D172" s="6" t="str">
        <f>"林朝琼"</f>
        <v>林朝琼</v>
      </c>
      <c r="E172" s="6" t="str">
        <f>"202409210109"</f>
        <v>202409210109</v>
      </c>
      <c r="F172" s="6" t="str">
        <f>"01"</f>
        <v>01</v>
      </c>
      <c r="G172" s="6" t="str">
        <f>"09"</f>
        <v>09</v>
      </c>
      <c r="H172" s="7"/>
      <c r="I172" s="8"/>
      <c r="J172" s="8" t="s">
        <v>12</v>
      </c>
    </row>
    <row r="173" spans="1:10">
      <c r="A173" s="6">
        <v>171</v>
      </c>
      <c r="B173" s="6" t="str">
        <f t="shared" si="2"/>
        <v>0101</v>
      </c>
      <c r="C173" s="6" t="s">
        <v>11</v>
      </c>
      <c r="D173" s="6" t="str">
        <f>"韦琼馨"</f>
        <v>韦琼馨</v>
      </c>
      <c r="E173" s="6" t="str">
        <f>"202409210115"</f>
        <v>202409210115</v>
      </c>
      <c r="F173" s="6" t="str">
        <f>"01"</f>
        <v>01</v>
      </c>
      <c r="G173" s="6" t="str">
        <f>"15"</f>
        <v>15</v>
      </c>
      <c r="H173" s="7"/>
      <c r="I173" s="8"/>
      <c r="J173" s="8" t="s">
        <v>12</v>
      </c>
    </row>
    <row r="174" spans="1:10">
      <c r="A174" s="6">
        <v>172</v>
      </c>
      <c r="B174" s="6" t="str">
        <f t="shared" si="2"/>
        <v>0101</v>
      </c>
      <c r="C174" s="6" t="s">
        <v>11</v>
      </c>
      <c r="D174" s="6" t="str">
        <f>"韦杰艺"</f>
        <v>韦杰艺</v>
      </c>
      <c r="E174" s="6" t="str">
        <f>"202409210128"</f>
        <v>202409210128</v>
      </c>
      <c r="F174" s="6" t="str">
        <f>"01"</f>
        <v>01</v>
      </c>
      <c r="G174" s="6" t="str">
        <f>"28"</f>
        <v>28</v>
      </c>
      <c r="H174" s="7"/>
      <c r="I174" s="8"/>
      <c r="J174" s="8" t="s">
        <v>12</v>
      </c>
    </row>
    <row r="175" spans="1:10">
      <c r="A175" s="6">
        <v>173</v>
      </c>
      <c r="B175" s="6" t="str">
        <f t="shared" si="2"/>
        <v>0101</v>
      </c>
      <c r="C175" s="6" t="s">
        <v>11</v>
      </c>
      <c r="D175" s="6" t="str">
        <f>"苏莎莎"</f>
        <v>苏莎莎</v>
      </c>
      <c r="E175" s="6" t="str">
        <f>"202409210202"</f>
        <v>202409210202</v>
      </c>
      <c r="F175" s="6" t="str">
        <f>"02"</f>
        <v>02</v>
      </c>
      <c r="G175" s="6" t="str">
        <f>"02"</f>
        <v>02</v>
      </c>
      <c r="H175" s="7"/>
      <c r="I175" s="8"/>
      <c r="J175" s="8" t="s">
        <v>12</v>
      </c>
    </row>
    <row r="176" spans="1:10">
      <c r="A176" s="6">
        <v>174</v>
      </c>
      <c r="B176" s="6" t="str">
        <f t="shared" si="2"/>
        <v>0101</v>
      </c>
      <c r="C176" s="6" t="s">
        <v>11</v>
      </c>
      <c r="D176" s="6" t="str">
        <f>"卢玉巧"</f>
        <v>卢玉巧</v>
      </c>
      <c r="E176" s="6" t="str">
        <f>"202409210204"</f>
        <v>202409210204</v>
      </c>
      <c r="F176" s="6" t="str">
        <f>"02"</f>
        <v>02</v>
      </c>
      <c r="G176" s="6" t="str">
        <f>"04"</f>
        <v>04</v>
      </c>
      <c r="H176" s="7"/>
      <c r="I176" s="8"/>
      <c r="J176" s="8" t="s">
        <v>12</v>
      </c>
    </row>
    <row r="177" spans="1:10">
      <c r="A177" s="6">
        <v>175</v>
      </c>
      <c r="B177" s="6" t="str">
        <f t="shared" si="2"/>
        <v>0101</v>
      </c>
      <c r="C177" s="6" t="s">
        <v>11</v>
      </c>
      <c r="D177" s="6" t="str">
        <f>"吴姣仪"</f>
        <v>吴姣仪</v>
      </c>
      <c r="E177" s="6" t="str">
        <f>"202409210210"</f>
        <v>202409210210</v>
      </c>
      <c r="F177" s="6" t="str">
        <f>"02"</f>
        <v>02</v>
      </c>
      <c r="G177" s="6" t="str">
        <f>"10"</f>
        <v>10</v>
      </c>
      <c r="H177" s="7"/>
      <c r="I177" s="8"/>
      <c r="J177" s="8" t="s">
        <v>12</v>
      </c>
    </row>
    <row r="178" spans="1:10">
      <c r="A178" s="6">
        <v>176</v>
      </c>
      <c r="B178" s="6" t="str">
        <f t="shared" si="2"/>
        <v>0101</v>
      </c>
      <c r="C178" s="6" t="s">
        <v>11</v>
      </c>
      <c r="D178" s="6" t="str">
        <f>"陈泰雪"</f>
        <v>陈泰雪</v>
      </c>
      <c r="E178" s="6" t="str">
        <f>"202409210211"</f>
        <v>202409210211</v>
      </c>
      <c r="F178" s="6" t="str">
        <f>"02"</f>
        <v>02</v>
      </c>
      <c r="G178" s="6" t="str">
        <f>"11"</f>
        <v>11</v>
      </c>
      <c r="H178" s="7"/>
      <c r="I178" s="8"/>
      <c r="J178" s="8" t="s">
        <v>12</v>
      </c>
    </row>
    <row r="179" spans="1:10">
      <c r="A179" s="6">
        <v>177</v>
      </c>
      <c r="B179" s="6" t="str">
        <f t="shared" si="2"/>
        <v>0101</v>
      </c>
      <c r="C179" s="6" t="s">
        <v>11</v>
      </c>
      <c r="D179" s="6" t="str">
        <f>"杨莲"</f>
        <v>杨莲</v>
      </c>
      <c r="E179" s="6" t="str">
        <f>"202409210223"</f>
        <v>202409210223</v>
      </c>
      <c r="F179" s="6" t="str">
        <f>"02"</f>
        <v>02</v>
      </c>
      <c r="G179" s="6" t="str">
        <f>"23"</f>
        <v>23</v>
      </c>
      <c r="H179" s="7"/>
      <c r="I179" s="8"/>
      <c r="J179" s="8" t="s">
        <v>12</v>
      </c>
    </row>
    <row r="180" spans="1:10">
      <c r="A180" s="6">
        <v>178</v>
      </c>
      <c r="B180" s="6" t="str">
        <f t="shared" si="2"/>
        <v>0101</v>
      </c>
      <c r="C180" s="6" t="s">
        <v>11</v>
      </c>
      <c r="D180" s="6" t="str">
        <f>"汤丽彬"</f>
        <v>汤丽彬</v>
      </c>
      <c r="E180" s="6" t="str">
        <f>"202409210311"</f>
        <v>202409210311</v>
      </c>
      <c r="F180" s="6" t="str">
        <f>"03"</f>
        <v>03</v>
      </c>
      <c r="G180" s="6" t="str">
        <f>"11"</f>
        <v>11</v>
      </c>
      <c r="H180" s="7"/>
      <c r="I180" s="8"/>
      <c r="J180" s="8" t="s">
        <v>12</v>
      </c>
    </row>
    <row r="181" spans="1:10">
      <c r="A181" s="6">
        <v>179</v>
      </c>
      <c r="B181" s="6" t="str">
        <f t="shared" si="2"/>
        <v>0101</v>
      </c>
      <c r="C181" s="6" t="s">
        <v>11</v>
      </c>
      <c r="D181" s="6" t="str">
        <f>"周小明"</f>
        <v>周小明</v>
      </c>
      <c r="E181" s="6" t="str">
        <f>"202409210316"</f>
        <v>202409210316</v>
      </c>
      <c r="F181" s="6" t="str">
        <f>"03"</f>
        <v>03</v>
      </c>
      <c r="G181" s="6" t="str">
        <f>"16"</f>
        <v>16</v>
      </c>
      <c r="H181" s="7"/>
      <c r="I181" s="8"/>
      <c r="J181" s="8" t="s">
        <v>12</v>
      </c>
    </row>
    <row r="182" spans="1:10">
      <c r="A182" s="6">
        <v>180</v>
      </c>
      <c r="B182" s="6" t="str">
        <f t="shared" si="2"/>
        <v>0101</v>
      </c>
      <c r="C182" s="6" t="s">
        <v>11</v>
      </c>
      <c r="D182" s="6" t="str">
        <f>"苏亚桃"</f>
        <v>苏亚桃</v>
      </c>
      <c r="E182" s="6" t="str">
        <f>"202409210324"</f>
        <v>202409210324</v>
      </c>
      <c r="F182" s="6" t="str">
        <f>"03"</f>
        <v>03</v>
      </c>
      <c r="G182" s="6" t="str">
        <f>"24"</f>
        <v>24</v>
      </c>
      <c r="H182" s="7"/>
      <c r="I182" s="8"/>
      <c r="J182" s="8" t="s">
        <v>12</v>
      </c>
    </row>
    <row r="183" spans="1:10">
      <c r="A183" s="6">
        <v>181</v>
      </c>
      <c r="B183" s="6" t="str">
        <f t="shared" si="2"/>
        <v>0101</v>
      </c>
      <c r="C183" s="6" t="s">
        <v>11</v>
      </c>
      <c r="D183" s="6" t="str">
        <f>"陈辉丽"</f>
        <v>陈辉丽</v>
      </c>
      <c r="E183" s="6" t="str">
        <f>"202409210325"</f>
        <v>202409210325</v>
      </c>
      <c r="F183" s="6" t="str">
        <f>"03"</f>
        <v>03</v>
      </c>
      <c r="G183" s="6" t="str">
        <f>"25"</f>
        <v>25</v>
      </c>
      <c r="H183" s="7"/>
      <c r="I183" s="8"/>
      <c r="J183" s="8" t="s">
        <v>12</v>
      </c>
    </row>
    <row r="184" spans="1:10">
      <c r="A184" s="6">
        <v>182</v>
      </c>
      <c r="B184" s="6" t="str">
        <f t="shared" si="2"/>
        <v>0101</v>
      </c>
      <c r="C184" s="6" t="s">
        <v>11</v>
      </c>
      <c r="D184" s="6" t="str">
        <f>"符运婷"</f>
        <v>符运婷</v>
      </c>
      <c r="E184" s="6" t="str">
        <f>"202409210405"</f>
        <v>202409210405</v>
      </c>
      <c r="F184" s="6" t="str">
        <f>"04"</f>
        <v>04</v>
      </c>
      <c r="G184" s="6" t="str">
        <f>"05"</f>
        <v>05</v>
      </c>
      <c r="H184" s="7"/>
      <c r="I184" s="8"/>
      <c r="J184" s="8" t="s">
        <v>12</v>
      </c>
    </row>
    <row r="185" spans="1:10">
      <c r="A185" s="6">
        <v>183</v>
      </c>
      <c r="B185" s="6" t="str">
        <f t="shared" si="2"/>
        <v>0101</v>
      </c>
      <c r="C185" s="6" t="s">
        <v>11</v>
      </c>
      <c r="D185" s="6" t="str">
        <f>"林香香"</f>
        <v>林香香</v>
      </c>
      <c r="E185" s="6" t="str">
        <f>"202409210412"</f>
        <v>202409210412</v>
      </c>
      <c r="F185" s="6" t="str">
        <f>"04"</f>
        <v>04</v>
      </c>
      <c r="G185" s="6" t="str">
        <f>"12"</f>
        <v>12</v>
      </c>
      <c r="H185" s="7"/>
      <c r="I185" s="8"/>
      <c r="J185" s="8" t="s">
        <v>12</v>
      </c>
    </row>
    <row r="186" spans="1:10">
      <c r="A186" s="6">
        <v>184</v>
      </c>
      <c r="B186" s="6" t="str">
        <f t="shared" si="2"/>
        <v>0101</v>
      </c>
      <c r="C186" s="6" t="s">
        <v>11</v>
      </c>
      <c r="D186" s="6" t="str">
        <f>"梁羽欢"</f>
        <v>梁羽欢</v>
      </c>
      <c r="E186" s="6" t="str">
        <f>"202409210413"</f>
        <v>202409210413</v>
      </c>
      <c r="F186" s="6" t="str">
        <f>"04"</f>
        <v>04</v>
      </c>
      <c r="G186" s="6" t="str">
        <f>"13"</f>
        <v>13</v>
      </c>
      <c r="H186" s="7"/>
      <c r="I186" s="8"/>
      <c r="J186" s="8" t="s">
        <v>12</v>
      </c>
    </row>
    <row r="187" spans="1:10">
      <c r="A187" s="6">
        <v>185</v>
      </c>
      <c r="B187" s="6" t="str">
        <f t="shared" si="2"/>
        <v>0101</v>
      </c>
      <c r="C187" s="6" t="s">
        <v>11</v>
      </c>
      <c r="D187" s="6" t="str">
        <f>"孙白洁"</f>
        <v>孙白洁</v>
      </c>
      <c r="E187" s="6" t="str">
        <f>"202409210503"</f>
        <v>202409210503</v>
      </c>
      <c r="F187" s="6" t="str">
        <f>"05"</f>
        <v>05</v>
      </c>
      <c r="G187" s="6" t="str">
        <f>"03"</f>
        <v>03</v>
      </c>
      <c r="H187" s="7"/>
      <c r="I187" s="8"/>
      <c r="J187" s="8" t="s">
        <v>12</v>
      </c>
    </row>
    <row r="188" spans="1:10">
      <c r="A188" s="6">
        <v>186</v>
      </c>
      <c r="B188" s="6" t="str">
        <f t="shared" si="2"/>
        <v>0101</v>
      </c>
      <c r="C188" s="6" t="s">
        <v>11</v>
      </c>
      <c r="D188" s="6" t="str">
        <f>"王慧"</f>
        <v>王慧</v>
      </c>
      <c r="E188" s="6" t="str">
        <f>"202409210504"</f>
        <v>202409210504</v>
      </c>
      <c r="F188" s="6" t="str">
        <f>"05"</f>
        <v>05</v>
      </c>
      <c r="G188" s="6" t="str">
        <f>"04"</f>
        <v>04</v>
      </c>
      <c r="H188" s="7"/>
      <c r="I188" s="8"/>
      <c r="J188" s="8" t="s">
        <v>12</v>
      </c>
    </row>
    <row r="189" spans="1:10">
      <c r="A189" s="6">
        <v>187</v>
      </c>
      <c r="B189" s="6" t="str">
        <f t="shared" si="2"/>
        <v>0101</v>
      </c>
      <c r="C189" s="6" t="s">
        <v>11</v>
      </c>
      <c r="D189" s="6" t="str">
        <f>"符敏惠"</f>
        <v>符敏惠</v>
      </c>
      <c r="E189" s="6" t="str">
        <f>"202409210514"</f>
        <v>202409210514</v>
      </c>
      <c r="F189" s="6" t="str">
        <f>"05"</f>
        <v>05</v>
      </c>
      <c r="G189" s="6" t="str">
        <f>"14"</f>
        <v>14</v>
      </c>
      <c r="H189" s="7"/>
      <c r="I189" s="8"/>
      <c r="J189" s="8" t="s">
        <v>12</v>
      </c>
    </row>
    <row r="190" spans="1:10">
      <c r="A190" s="6">
        <v>188</v>
      </c>
      <c r="B190" s="6" t="str">
        <f t="shared" si="2"/>
        <v>0101</v>
      </c>
      <c r="C190" s="6" t="s">
        <v>11</v>
      </c>
      <c r="D190" s="6" t="str">
        <f>"陈小叶"</f>
        <v>陈小叶</v>
      </c>
      <c r="E190" s="6" t="str">
        <f>"202409210622"</f>
        <v>202409210622</v>
      </c>
      <c r="F190" s="6" t="str">
        <f>"06"</f>
        <v>06</v>
      </c>
      <c r="G190" s="6" t="str">
        <f>"22"</f>
        <v>22</v>
      </c>
      <c r="H190" s="7"/>
      <c r="I190" s="8"/>
      <c r="J190" s="8" t="s">
        <v>12</v>
      </c>
    </row>
    <row r="191" spans="1:10">
      <c r="A191" s="6">
        <v>189</v>
      </c>
      <c r="B191" s="6" t="str">
        <f t="shared" si="2"/>
        <v>0101</v>
      </c>
      <c r="C191" s="6" t="s">
        <v>11</v>
      </c>
      <c r="D191" s="6" t="str">
        <f>"郑丽巧"</f>
        <v>郑丽巧</v>
      </c>
      <c r="E191" s="6" t="str">
        <f>"202409210623"</f>
        <v>202409210623</v>
      </c>
      <c r="F191" s="6" t="str">
        <f>"06"</f>
        <v>06</v>
      </c>
      <c r="G191" s="6" t="str">
        <f>"23"</f>
        <v>23</v>
      </c>
      <c r="H191" s="7"/>
      <c r="I191" s="8"/>
      <c r="J191" s="8" t="s">
        <v>12</v>
      </c>
    </row>
    <row r="192" spans="1:10">
      <c r="A192" s="6">
        <v>190</v>
      </c>
      <c r="B192" s="6" t="str">
        <f t="shared" si="2"/>
        <v>0101</v>
      </c>
      <c r="C192" s="6" t="s">
        <v>11</v>
      </c>
      <c r="D192" s="6" t="str">
        <f>"林嘉慧"</f>
        <v>林嘉慧</v>
      </c>
      <c r="E192" s="6" t="str">
        <f>"202409210629"</f>
        <v>202409210629</v>
      </c>
      <c r="F192" s="6" t="str">
        <f>"06"</f>
        <v>06</v>
      </c>
      <c r="G192" s="6" t="str">
        <f>"29"</f>
        <v>29</v>
      </c>
      <c r="H192" s="7"/>
      <c r="I192" s="8"/>
      <c r="J192" s="8" t="s">
        <v>12</v>
      </c>
    </row>
    <row r="193" spans="1:10">
      <c r="A193" s="6">
        <v>191</v>
      </c>
      <c r="B193" s="6" t="str">
        <f t="shared" si="2"/>
        <v>0101</v>
      </c>
      <c r="C193" s="6" t="s">
        <v>11</v>
      </c>
      <c r="D193" s="6" t="str">
        <f>"董萌"</f>
        <v>董萌</v>
      </c>
      <c r="E193" s="6" t="str">
        <f>"202409210706"</f>
        <v>202409210706</v>
      </c>
      <c r="F193" s="6" t="str">
        <f>"07"</f>
        <v>07</v>
      </c>
      <c r="G193" s="6" t="str">
        <f>"06"</f>
        <v>06</v>
      </c>
      <c r="H193" s="7"/>
      <c r="I193" s="8"/>
      <c r="J193" s="8" t="s">
        <v>12</v>
      </c>
    </row>
    <row r="194" spans="1:10">
      <c r="A194" s="6">
        <v>192</v>
      </c>
      <c r="B194" s="6" t="str">
        <f t="shared" si="2"/>
        <v>0101</v>
      </c>
      <c r="C194" s="6" t="s">
        <v>11</v>
      </c>
      <c r="D194" s="6" t="str">
        <f>"陈夏琳"</f>
        <v>陈夏琳</v>
      </c>
      <c r="E194" s="6" t="str">
        <f>"202409210708"</f>
        <v>202409210708</v>
      </c>
      <c r="F194" s="6" t="str">
        <f>"07"</f>
        <v>07</v>
      </c>
      <c r="G194" s="6" t="str">
        <f>"08"</f>
        <v>08</v>
      </c>
      <c r="H194" s="7"/>
      <c r="I194" s="8"/>
      <c r="J194" s="8" t="s">
        <v>12</v>
      </c>
    </row>
    <row r="195" spans="1:10">
      <c r="A195" s="6">
        <v>193</v>
      </c>
      <c r="B195" s="6" t="str">
        <f>"0101"</f>
        <v>0101</v>
      </c>
      <c r="C195" s="6" t="s">
        <v>11</v>
      </c>
      <c r="D195" s="6" t="str">
        <f>"韩腾"</f>
        <v>韩腾</v>
      </c>
      <c r="E195" s="6" t="str">
        <f>"202409210710"</f>
        <v>202409210710</v>
      </c>
      <c r="F195" s="6" t="str">
        <f>"07"</f>
        <v>07</v>
      </c>
      <c r="G195" s="6" t="str">
        <f>"10"</f>
        <v>10</v>
      </c>
      <c r="H195" s="7"/>
      <c r="I195" s="8"/>
      <c r="J195" s="8" t="s">
        <v>12</v>
      </c>
    </row>
    <row r="196" spans="1:10">
      <c r="A196" s="6">
        <v>194</v>
      </c>
      <c r="B196" s="6" t="str">
        <f>"0101"</f>
        <v>0101</v>
      </c>
      <c r="C196" s="6" t="s">
        <v>11</v>
      </c>
      <c r="D196" s="6" t="str">
        <f>"符蕊"</f>
        <v>符蕊</v>
      </c>
      <c r="E196" s="6" t="str">
        <f>"202409210711"</f>
        <v>202409210711</v>
      </c>
      <c r="F196" s="6" t="str">
        <f>"07"</f>
        <v>07</v>
      </c>
      <c r="G196" s="6" t="str">
        <f>"11"</f>
        <v>11</v>
      </c>
      <c r="H196" s="7"/>
      <c r="I196" s="8"/>
      <c r="J196" s="8" t="s">
        <v>12</v>
      </c>
    </row>
    <row r="197" spans="1:10">
      <c r="A197" s="6">
        <v>195</v>
      </c>
      <c r="B197" s="6" t="str">
        <f t="shared" ref="B197:B260" si="3">"0102"</f>
        <v>0102</v>
      </c>
      <c r="C197" s="6" t="s">
        <v>13</v>
      </c>
      <c r="D197" s="6" t="str">
        <f>"谢蓉"</f>
        <v>谢蓉</v>
      </c>
      <c r="E197" s="6" t="str">
        <f>"202409211213"</f>
        <v>202409211213</v>
      </c>
      <c r="F197" s="6" t="str">
        <f>"12"</f>
        <v>12</v>
      </c>
      <c r="G197" s="6" t="str">
        <f>"13"</f>
        <v>13</v>
      </c>
      <c r="H197" s="7">
        <v>75.82</v>
      </c>
      <c r="I197" s="8">
        <v>1</v>
      </c>
      <c r="J197" s="8"/>
    </row>
    <row r="198" spans="1:10">
      <c r="A198" s="6">
        <v>196</v>
      </c>
      <c r="B198" s="6" t="str">
        <f t="shared" si="3"/>
        <v>0102</v>
      </c>
      <c r="C198" s="6" t="s">
        <v>13</v>
      </c>
      <c r="D198" s="6" t="str">
        <f>"董晓莉"</f>
        <v>董晓莉</v>
      </c>
      <c r="E198" s="6" t="str">
        <f>"202409211321"</f>
        <v>202409211321</v>
      </c>
      <c r="F198" s="6" t="str">
        <f>"13"</f>
        <v>13</v>
      </c>
      <c r="G198" s="6" t="str">
        <f>"21"</f>
        <v>21</v>
      </c>
      <c r="H198" s="7">
        <v>75.76</v>
      </c>
      <c r="I198" s="8">
        <v>2</v>
      </c>
      <c r="J198" s="8"/>
    </row>
    <row r="199" spans="1:10">
      <c r="A199" s="6">
        <v>197</v>
      </c>
      <c r="B199" s="6" t="str">
        <f t="shared" si="3"/>
        <v>0102</v>
      </c>
      <c r="C199" s="6" t="s">
        <v>13</v>
      </c>
      <c r="D199" s="6" t="str">
        <f>"张菲"</f>
        <v>张菲</v>
      </c>
      <c r="E199" s="6" t="str">
        <f>"202409211003"</f>
        <v>202409211003</v>
      </c>
      <c r="F199" s="6" t="str">
        <f>"10"</f>
        <v>10</v>
      </c>
      <c r="G199" s="6" t="str">
        <f>"03"</f>
        <v>03</v>
      </c>
      <c r="H199" s="7">
        <v>75.68</v>
      </c>
      <c r="I199" s="8">
        <v>3</v>
      </c>
      <c r="J199" s="8"/>
    </row>
    <row r="200" spans="1:10">
      <c r="A200" s="6">
        <v>198</v>
      </c>
      <c r="B200" s="6" t="str">
        <f t="shared" si="3"/>
        <v>0102</v>
      </c>
      <c r="C200" s="6" t="s">
        <v>13</v>
      </c>
      <c r="D200" s="6" t="str">
        <f>"肖悦"</f>
        <v>肖悦</v>
      </c>
      <c r="E200" s="6" t="str">
        <f>"202409211310"</f>
        <v>202409211310</v>
      </c>
      <c r="F200" s="6" t="str">
        <f>"13"</f>
        <v>13</v>
      </c>
      <c r="G200" s="6" t="str">
        <f>"10"</f>
        <v>10</v>
      </c>
      <c r="H200" s="7">
        <v>75.6</v>
      </c>
      <c r="I200" s="8">
        <v>4</v>
      </c>
      <c r="J200" s="8"/>
    </row>
    <row r="201" spans="1:10">
      <c r="A201" s="6">
        <v>199</v>
      </c>
      <c r="B201" s="6" t="str">
        <f t="shared" si="3"/>
        <v>0102</v>
      </c>
      <c r="C201" s="6" t="s">
        <v>13</v>
      </c>
      <c r="D201" s="6" t="str">
        <f>"钟虹"</f>
        <v>钟虹</v>
      </c>
      <c r="E201" s="6" t="str">
        <f>"202409210918"</f>
        <v>202409210918</v>
      </c>
      <c r="F201" s="6" t="str">
        <f>"09"</f>
        <v>09</v>
      </c>
      <c r="G201" s="6" t="str">
        <f>"18"</f>
        <v>18</v>
      </c>
      <c r="H201" s="7">
        <v>74.92</v>
      </c>
      <c r="I201" s="8">
        <v>5</v>
      </c>
      <c r="J201" s="8"/>
    </row>
    <row r="202" spans="1:10">
      <c r="A202" s="6">
        <v>200</v>
      </c>
      <c r="B202" s="6" t="str">
        <f t="shared" si="3"/>
        <v>0102</v>
      </c>
      <c r="C202" s="6" t="s">
        <v>13</v>
      </c>
      <c r="D202" s="6" t="str">
        <f>"牛良丽"</f>
        <v>牛良丽</v>
      </c>
      <c r="E202" s="6" t="str">
        <f>"202409210905"</f>
        <v>202409210905</v>
      </c>
      <c r="F202" s="6" t="str">
        <f>"09"</f>
        <v>09</v>
      </c>
      <c r="G202" s="6" t="str">
        <f>"05"</f>
        <v>05</v>
      </c>
      <c r="H202" s="7">
        <v>74.87</v>
      </c>
      <c r="I202" s="8">
        <v>6</v>
      </c>
      <c r="J202" s="8"/>
    </row>
    <row r="203" spans="1:10">
      <c r="A203" s="6">
        <v>201</v>
      </c>
      <c r="B203" s="6" t="str">
        <f t="shared" si="3"/>
        <v>0102</v>
      </c>
      <c r="C203" s="6" t="s">
        <v>13</v>
      </c>
      <c r="D203" s="6" t="str">
        <f>"林军"</f>
        <v>林军</v>
      </c>
      <c r="E203" s="6" t="str">
        <f>"202409211222"</f>
        <v>202409211222</v>
      </c>
      <c r="F203" s="6" t="str">
        <f>"12"</f>
        <v>12</v>
      </c>
      <c r="G203" s="6" t="str">
        <f>"22"</f>
        <v>22</v>
      </c>
      <c r="H203" s="7">
        <v>73.72</v>
      </c>
      <c r="I203" s="8">
        <v>7</v>
      </c>
      <c r="J203" s="8"/>
    </row>
    <row r="204" spans="1:10">
      <c r="A204" s="6">
        <v>202</v>
      </c>
      <c r="B204" s="6" t="str">
        <f t="shared" si="3"/>
        <v>0102</v>
      </c>
      <c r="C204" s="6" t="s">
        <v>13</v>
      </c>
      <c r="D204" s="6" t="str">
        <f>"王婕"</f>
        <v>王婕</v>
      </c>
      <c r="E204" s="6" t="str">
        <f>"202409210827"</f>
        <v>202409210827</v>
      </c>
      <c r="F204" s="6" t="str">
        <f>"08"</f>
        <v>08</v>
      </c>
      <c r="G204" s="6" t="str">
        <f>"27"</f>
        <v>27</v>
      </c>
      <c r="H204" s="7">
        <v>73.48</v>
      </c>
      <c r="I204" s="8">
        <v>8</v>
      </c>
      <c r="J204" s="8"/>
    </row>
    <row r="205" spans="1:10">
      <c r="A205" s="6">
        <v>203</v>
      </c>
      <c r="B205" s="6" t="str">
        <f t="shared" si="3"/>
        <v>0102</v>
      </c>
      <c r="C205" s="6" t="s">
        <v>13</v>
      </c>
      <c r="D205" s="6" t="str">
        <f>"黎香韵"</f>
        <v>黎香韵</v>
      </c>
      <c r="E205" s="6" t="str">
        <f>"202409211002"</f>
        <v>202409211002</v>
      </c>
      <c r="F205" s="6" t="str">
        <f>"10"</f>
        <v>10</v>
      </c>
      <c r="G205" s="6" t="str">
        <f>"02"</f>
        <v>02</v>
      </c>
      <c r="H205" s="7">
        <v>73.13</v>
      </c>
      <c r="I205" s="8">
        <v>9</v>
      </c>
      <c r="J205" s="8"/>
    </row>
    <row r="206" spans="1:10">
      <c r="A206" s="6">
        <v>204</v>
      </c>
      <c r="B206" s="6" t="str">
        <f t="shared" si="3"/>
        <v>0102</v>
      </c>
      <c r="C206" s="6" t="s">
        <v>13</v>
      </c>
      <c r="D206" s="6" t="str">
        <f>"何海花"</f>
        <v>何海花</v>
      </c>
      <c r="E206" s="6" t="str">
        <f>"202409211121"</f>
        <v>202409211121</v>
      </c>
      <c r="F206" s="6" t="str">
        <f>"11"</f>
        <v>11</v>
      </c>
      <c r="G206" s="6" t="str">
        <f>"21"</f>
        <v>21</v>
      </c>
      <c r="H206" s="7">
        <v>72.85</v>
      </c>
      <c r="I206" s="8">
        <v>10</v>
      </c>
      <c r="J206" s="8"/>
    </row>
    <row r="207" spans="1:10">
      <c r="A207" s="6">
        <v>205</v>
      </c>
      <c r="B207" s="6" t="str">
        <f t="shared" si="3"/>
        <v>0102</v>
      </c>
      <c r="C207" s="6" t="s">
        <v>13</v>
      </c>
      <c r="D207" s="6" t="str">
        <f>"吴美娜"</f>
        <v>吴美娜</v>
      </c>
      <c r="E207" s="6" t="str">
        <f>"202409210903"</f>
        <v>202409210903</v>
      </c>
      <c r="F207" s="6" t="str">
        <f>"09"</f>
        <v>09</v>
      </c>
      <c r="G207" s="6" t="str">
        <f>"03"</f>
        <v>03</v>
      </c>
      <c r="H207" s="7">
        <v>71.53</v>
      </c>
      <c r="I207" s="8">
        <v>11</v>
      </c>
      <c r="J207" s="8"/>
    </row>
    <row r="208" spans="1:10">
      <c r="A208" s="6">
        <v>206</v>
      </c>
      <c r="B208" s="6" t="str">
        <f t="shared" si="3"/>
        <v>0102</v>
      </c>
      <c r="C208" s="6" t="s">
        <v>13</v>
      </c>
      <c r="D208" s="6" t="str">
        <f>"陈是丽"</f>
        <v>陈是丽</v>
      </c>
      <c r="E208" s="6" t="str">
        <f>"202409210816"</f>
        <v>202409210816</v>
      </c>
      <c r="F208" s="6" t="str">
        <f>"08"</f>
        <v>08</v>
      </c>
      <c r="G208" s="6" t="str">
        <f>"16"</f>
        <v>16</v>
      </c>
      <c r="H208" s="7">
        <v>71.32</v>
      </c>
      <c r="I208" s="8">
        <v>12</v>
      </c>
      <c r="J208" s="8"/>
    </row>
    <row r="209" spans="1:10">
      <c r="A209" s="6">
        <v>207</v>
      </c>
      <c r="B209" s="6" t="str">
        <f t="shared" si="3"/>
        <v>0102</v>
      </c>
      <c r="C209" s="6" t="s">
        <v>13</v>
      </c>
      <c r="D209" s="6" t="str">
        <f>"王彦萍"</f>
        <v>王彦萍</v>
      </c>
      <c r="E209" s="6" t="str">
        <f>"202409211101"</f>
        <v>202409211101</v>
      </c>
      <c r="F209" s="6" t="str">
        <f>"11"</f>
        <v>11</v>
      </c>
      <c r="G209" s="6" t="str">
        <f>"01"</f>
        <v>01</v>
      </c>
      <c r="H209" s="7">
        <v>71.27</v>
      </c>
      <c r="I209" s="8">
        <v>13</v>
      </c>
      <c r="J209" s="8"/>
    </row>
    <row r="210" spans="1:10">
      <c r="A210" s="6">
        <v>208</v>
      </c>
      <c r="B210" s="6" t="str">
        <f t="shared" si="3"/>
        <v>0102</v>
      </c>
      <c r="C210" s="6" t="s">
        <v>13</v>
      </c>
      <c r="D210" s="6" t="str">
        <f>"罗娜妹"</f>
        <v>罗娜妹</v>
      </c>
      <c r="E210" s="6" t="str">
        <f>"202409210916"</f>
        <v>202409210916</v>
      </c>
      <c r="F210" s="6" t="str">
        <f>"09"</f>
        <v>09</v>
      </c>
      <c r="G210" s="6" t="str">
        <f>"16"</f>
        <v>16</v>
      </c>
      <c r="H210" s="7">
        <v>70.82</v>
      </c>
      <c r="I210" s="8">
        <v>14</v>
      </c>
      <c r="J210" s="8"/>
    </row>
    <row r="211" spans="1:10">
      <c r="A211" s="6">
        <v>209</v>
      </c>
      <c r="B211" s="6" t="str">
        <f t="shared" si="3"/>
        <v>0102</v>
      </c>
      <c r="C211" s="6" t="s">
        <v>13</v>
      </c>
      <c r="D211" s="6" t="str">
        <f>"文彬彬"</f>
        <v>文彬彬</v>
      </c>
      <c r="E211" s="6" t="str">
        <f>"202409211128"</f>
        <v>202409211128</v>
      </c>
      <c r="F211" s="6" t="str">
        <f>"11"</f>
        <v>11</v>
      </c>
      <c r="G211" s="6" t="str">
        <f>"28"</f>
        <v>28</v>
      </c>
      <c r="H211" s="7">
        <v>70.6</v>
      </c>
      <c r="I211" s="8">
        <v>15</v>
      </c>
      <c r="J211" s="8"/>
    </row>
    <row r="212" spans="1:10">
      <c r="A212" s="6">
        <v>210</v>
      </c>
      <c r="B212" s="6" t="str">
        <f t="shared" si="3"/>
        <v>0102</v>
      </c>
      <c r="C212" s="6" t="s">
        <v>13</v>
      </c>
      <c r="D212" s="6" t="str">
        <f>"洪英凤"</f>
        <v>洪英凤</v>
      </c>
      <c r="E212" s="6" t="str">
        <f>"202409211216"</f>
        <v>202409211216</v>
      </c>
      <c r="F212" s="6" t="str">
        <f>"12"</f>
        <v>12</v>
      </c>
      <c r="G212" s="6" t="str">
        <f>"16"</f>
        <v>16</v>
      </c>
      <c r="H212" s="7">
        <v>70.19</v>
      </c>
      <c r="I212" s="8">
        <v>16</v>
      </c>
      <c r="J212" s="8"/>
    </row>
    <row r="213" spans="1:10">
      <c r="A213" s="6">
        <v>211</v>
      </c>
      <c r="B213" s="6" t="str">
        <f t="shared" si="3"/>
        <v>0102</v>
      </c>
      <c r="C213" s="6" t="s">
        <v>13</v>
      </c>
      <c r="D213" s="6" t="str">
        <f>"梁佳"</f>
        <v>梁佳</v>
      </c>
      <c r="E213" s="6" t="str">
        <f>"202409211005"</f>
        <v>202409211005</v>
      </c>
      <c r="F213" s="6" t="str">
        <f>"10"</f>
        <v>10</v>
      </c>
      <c r="G213" s="6" t="str">
        <f>"05"</f>
        <v>05</v>
      </c>
      <c r="H213" s="7">
        <v>70.09</v>
      </c>
      <c r="I213" s="8">
        <v>17</v>
      </c>
      <c r="J213" s="8"/>
    </row>
    <row r="214" spans="1:10">
      <c r="A214" s="6">
        <v>212</v>
      </c>
      <c r="B214" s="6" t="str">
        <f t="shared" si="3"/>
        <v>0102</v>
      </c>
      <c r="C214" s="6" t="s">
        <v>13</v>
      </c>
      <c r="D214" s="6" t="str">
        <f>"陈霞"</f>
        <v>陈霞</v>
      </c>
      <c r="E214" s="6" t="str">
        <f>"202409210717"</f>
        <v>202409210717</v>
      </c>
      <c r="F214" s="6" t="str">
        <f>"07"</f>
        <v>07</v>
      </c>
      <c r="G214" s="6" t="str">
        <f>"17"</f>
        <v>17</v>
      </c>
      <c r="H214" s="7">
        <v>70.03</v>
      </c>
      <c r="I214" s="8">
        <v>18</v>
      </c>
      <c r="J214" s="8"/>
    </row>
    <row r="215" spans="1:10">
      <c r="A215" s="6">
        <v>213</v>
      </c>
      <c r="B215" s="6" t="str">
        <f t="shared" si="3"/>
        <v>0102</v>
      </c>
      <c r="C215" s="6" t="s">
        <v>13</v>
      </c>
      <c r="D215" s="6" t="str">
        <f>"胥浩"</f>
        <v>胥浩</v>
      </c>
      <c r="E215" s="6" t="str">
        <f>"202409210808"</f>
        <v>202409210808</v>
      </c>
      <c r="F215" s="6" t="str">
        <f>"08"</f>
        <v>08</v>
      </c>
      <c r="G215" s="6" t="str">
        <f>"08"</f>
        <v>08</v>
      </c>
      <c r="H215" s="7">
        <v>69.97</v>
      </c>
      <c r="I215" s="8">
        <v>19</v>
      </c>
      <c r="J215" s="8"/>
    </row>
    <row r="216" spans="1:10">
      <c r="A216" s="6">
        <v>214</v>
      </c>
      <c r="B216" s="6" t="str">
        <f t="shared" si="3"/>
        <v>0102</v>
      </c>
      <c r="C216" s="6" t="s">
        <v>13</v>
      </c>
      <c r="D216" s="6" t="str">
        <f>"史浩民"</f>
        <v>史浩民</v>
      </c>
      <c r="E216" s="6" t="str">
        <f>"202409210824"</f>
        <v>202409210824</v>
      </c>
      <c r="F216" s="6" t="str">
        <f>"08"</f>
        <v>08</v>
      </c>
      <c r="G216" s="6" t="str">
        <f>"24"</f>
        <v>24</v>
      </c>
      <c r="H216" s="7">
        <v>69.13</v>
      </c>
      <c r="I216" s="8">
        <v>20</v>
      </c>
      <c r="J216" s="8"/>
    </row>
    <row r="217" spans="1:10">
      <c r="A217" s="6">
        <v>215</v>
      </c>
      <c r="B217" s="6" t="str">
        <f t="shared" si="3"/>
        <v>0102</v>
      </c>
      <c r="C217" s="6" t="s">
        <v>13</v>
      </c>
      <c r="D217" s="6" t="str">
        <f>"李琼妍"</f>
        <v>李琼妍</v>
      </c>
      <c r="E217" s="6" t="str">
        <f>"202409210825"</f>
        <v>202409210825</v>
      </c>
      <c r="F217" s="6" t="str">
        <f>"08"</f>
        <v>08</v>
      </c>
      <c r="G217" s="6" t="str">
        <f>"25"</f>
        <v>25</v>
      </c>
      <c r="H217" s="7">
        <v>68.55</v>
      </c>
      <c r="I217" s="8">
        <v>21</v>
      </c>
      <c r="J217" s="8"/>
    </row>
    <row r="218" spans="1:10">
      <c r="A218" s="6">
        <v>216</v>
      </c>
      <c r="B218" s="6" t="str">
        <f t="shared" si="3"/>
        <v>0102</v>
      </c>
      <c r="C218" s="6" t="s">
        <v>13</v>
      </c>
      <c r="D218" s="6" t="str">
        <f>"吴平"</f>
        <v>吴平</v>
      </c>
      <c r="E218" s="6" t="str">
        <f>"202409211103"</f>
        <v>202409211103</v>
      </c>
      <c r="F218" s="6" t="str">
        <f>"11"</f>
        <v>11</v>
      </c>
      <c r="G218" s="6" t="str">
        <f>"03"</f>
        <v>03</v>
      </c>
      <c r="H218" s="7">
        <v>68.39</v>
      </c>
      <c r="I218" s="8">
        <v>22</v>
      </c>
      <c r="J218" s="8"/>
    </row>
    <row r="219" spans="1:10">
      <c r="A219" s="6">
        <v>217</v>
      </c>
      <c r="B219" s="6" t="str">
        <f t="shared" si="3"/>
        <v>0102</v>
      </c>
      <c r="C219" s="6" t="s">
        <v>13</v>
      </c>
      <c r="D219" s="6" t="str">
        <f>"林霖"</f>
        <v>林霖</v>
      </c>
      <c r="E219" s="6" t="str">
        <f>"202409210915"</f>
        <v>202409210915</v>
      </c>
      <c r="F219" s="6" t="str">
        <f>"09"</f>
        <v>09</v>
      </c>
      <c r="G219" s="6" t="str">
        <f>"15"</f>
        <v>15</v>
      </c>
      <c r="H219" s="7">
        <v>67.31</v>
      </c>
      <c r="I219" s="8">
        <v>23</v>
      </c>
      <c r="J219" s="8"/>
    </row>
    <row r="220" spans="1:10">
      <c r="A220" s="6">
        <v>218</v>
      </c>
      <c r="B220" s="6" t="str">
        <f t="shared" si="3"/>
        <v>0102</v>
      </c>
      <c r="C220" s="6" t="s">
        <v>13</v>
      </c>
      <c r="D220" s="6" t="str">
        <f>"王美静"</f>
        <v>王美静</v>
      </c>
      <c r="E220" s="6" t="str">
        <f>"202409210719"</f>
        <v>202409210719</v>
      </c>
      <c r="F220" s="6" t="str">
        <f>"07"</f>
        <v>07</v>
      </c>
      <c r="G220" s="6" t="str">
        <f>"19"</f>
        <v>19</v>
      </c>
      <c r="H220" s="7">
        <v>67.16</v>
      </c>
      <c r="I220" s="8">
        <v>24</v>
      </c>
      <c r="J220" s="8"/>
    </row>
    <row r="221" spans="1:10">
      <c r="A221" s="6">
        <v>219</v>
      </c>
      <c r="B221" s="6" t="str">
        <f t="shared" si="3"/>
        <v>0102</v>
      </c>
      <c r="C221" s="6" t="s">
        <v>13</v>
      </c>
      <c r="D221" s="6" t="str">
        <f>"李彬彬"</f>
        <v>李彬彬</v>
      </c>
      <c r="E221" s="6" t="str">
        <f>"202409210920"</f>
        <v>202409210920</v>
      </c>
      <c r="F221" s="6" t="str">
        <f>"09"</f>
        <v>09</v>
      </c>
      <c r="G221" s="6" t="str">
        <f>"20"</f>
        <v>20</v>
      </c>
      <c r="H221" s="7">
        <v>66</v>
      </c>
      <c r="I221" s="8">
        <v>25</v>
      </c>
      <c r="J221" s="8"/>
    </row>
    <row r="222" spans="1:10">
      <c r="A222" s="6">
        <v>220</v>
      </c>
      <c r="B222" s="6" t="str">
        <f t="shared" si="3"/>
        <v>0102</v>
      </c>
      <c r="C222" s="6" t="s">
        <v>13</v>
      </c>
      <c r="D222" s="6" t="str">
        <f>"周辉英"</f>
        <v>周辉英</v>
      </c>
      <c r="E222" s="6" t="str">
        <f>"202409210722"</f>
        <v>202409210722</v>
      </c>
      <c r="F222" s="6" t="str">
        <f>"07"</f>
        <v>07</v>
      </c>
      <c r="G222" s="6" t="str">
        <f>"22"</f>
        <v>22</v>
      </c>
      <c r="H222" s="7">
        <v>65.56</v>
      </c>
      <c r="I222" s="8">
        <v>26</v>
      </c>
      <c r="J222" s="8"/>
    </row>
    <row r="223" spans="1:10">
      <c r="A223" s="6">
        <v>221</v>
      </c>
      <c r="B223" s="6" t="str">
        <f t="shared" si="3"/>
        <v>0102</v>
      </c>
      <c r="C223" s="6" t="s">
        <v>13</v>
      </c>
      <c r="D223" s="6" t="str">
        <f>"林志徽"</f>
        <v>林志徽</v>
      </c>
      <c r="E223" s="6" t="str">
        <f>"202409210909"</f>
        <v>202409210909</v>
      </c>
      <c r="F223" s="6" t="str">
        <f>"09"</f>
        <v>09</v>
      </c>
      <c r="G223" s="6" t="str">
        <f>"09"</f>
        <v>09</v>
      </c>
      <c r="H223" s="7">
        <v>65.42</v>
      </c>
      <c r="I223" s="8">
        <v>27</v>
      </c>
      <c r="J223" s="8"/>
    </row>
    <row r="224" spans="1:10">
      <c r="A224" s="6">
        <v>222</v>
      </c>
      <c r="B224" s="6" t="str">
        <f t="shared" si="3"/>
        <v>0102</v>
      </c>
      <c r="C224" s="6" t="s">
        <v>13</v>
      </c>
      <c r="D224" s="6" t="str">
        <f>"黄小欢"</f>
        <v>黄小欢</v>
      </c>
      <c r="E224" s="6" t="str">
        <f>"202409210715"</f>
        <v>202409210715</v>
      </c>
      <c r="F224" s="6" t="str">
        <f>"07"</f>
        <v>07</v>
      </c>
      <c r="G224" s="6" t="str">
        <f>"15"</f>
        <v>15</v>
      </c>
      <c r="H224" s="7">
        <v>65.34</v>
      </c>
      <c r="I224" s="8">
        <v>28</v>
      </c>
      <c r="J224" s="8"/>
    </row>
    <row r="225" spans="1:10">
      <c r="A225" s="6">
        <v>223</v>
      </c>
      <c r="B225" s="6" t="str">
        <f t="shared" si="3"/>
        <v>0102</v>
      </c>
      <c r="C225" s="6" t="s">
        <v>13</v>
      </c>
      <c r="D225" s="6" t="str">
        <f>"黎秀玲"</f>
        <v>黎秀玲</v>
      </c>
      <c r="E225" s="6" t="str">
        <f>"202409210721"</f>
        <v>202409210721</v>
      </c>
      <c r="F225" s="6" t="str">
        <f>"07"</f>
        <v>07</v>
      </c>
      <c r="G225" s="6" t="str">
        <f>"21"</f>
        <v>21</v>
      </c>
      <c r="H225" s="7">
        <v>65.03</v>
      </c>
      <c r="I225" s="8">
        <v>29</v>
      </c>
      <c r="J225" s="8"/>
    </row>
    <row r="226" spans="1:10">
      <c r="A226" s="6">
        <v>224</v>
      </c>
      <c r="B226" s="6" t="str">
        <f t="shared" si="3"/>
        <v>0102</v>
      </c>
      <c r="C226" s="6" t="s">
        <v>13</v>
      </c>
      <c r="D226" s="6" t="str">
        <f>"吴月美"</f>
        <v>吴月美</v>
      </c>
      <c r="E226" s="6" t="str">
        <f>"202409210910"</f>
        <v>202409210910</v>
      </c>
      <c r="F226" s="6" t="str">
        <f>"09"</f>
        <v>09</v>
      </c>
      <c r="G226" s="6" t="str">
        <f>"10"</f>
        <v>10</v>
      </c>
      <c r="H226" s="7">
        <v>64.89</v>
      </c>
      <c r="I226" s="8">
        <v>30</v>
      </c>
      <c r="J226" s="8"/>
    </row>
    <row r="227" spans="1:10">
      <c r="A227" s="6">
        <v>225</v>
      </c>
      <c r="B227" s="6" t="str">
        <f t="shared" si="3"/>
        <v>0102</v>
      </c>
      <c r="C227" s="6" t="s">
        <v>13</v>
      </c>
      <c r="D227" s="6" t="str">
        <f>"孙玉苑"</f>
        <v>孙玉苑</v>
      </c>
      <c r="E227" s="6" t="str">
        <f>"202409211011"</f>
        <v>202409211011</v>
      </c>
      <c r="F227" s="6" t="str">
        <f>"10"</f>
        <v>10</v>
      </c>
      <c r="G227" s="6" t="str">
        <f>"11"</f>
        <v>11</v>
      </c>
      <c r="H227" s="7">
        <v>64.8</v>
      </c>
      <c r="I227" s="8">
        <v>31</v>
      </c>
      <c r="J227" s="8"/>
    </row>
    <row r="228" spans="1:10">
      <c r="A228" s="6">
        <v>226</v>
      </c>
      <c r="B228" s="6" t="str">
        <f t="shared" si="3"/>
        <v>0102</v>
      </c>
      <c r="C228" s="6" t="s">
        <v>13</v>
      </c>
      <c r="D228" s="6" t="str">
        <f>"纪欢桐"</f>
        <v>纪欢桐</v>
      </c>
      <c r="E228" s="6" t="str">
        <f>"202409210720"</f>
        <v>202409210720</v>
      </c>
      <c r="F228" s="6" t="str">
        <f>"07"</f>
        <v>07</v>
      </c>
      <c r="G228" s="6" t="str">
        <f>"20"</f>
        <v>20</v>
      </c>
      <c r="H228" s="7">
        <v>64.76</v>
      </c>
      <c r="I228" s="8">
        <v>32</v>
      </c>
      <c r="J228" s="8"/>
    </row>
    <row r="229" spans="1:10">
      <c r="A229" s="6">
        <v>227</v>
      </c>
      <c r="B229" s="6" t="str">
        <f t="shared" si="3"/>
        <v>0102</v>
      </c>
      <c r="C229" s="6" t="s">
        <v>13</v>
      </c>
      <c r="D229" s="6" t="str">
        <f>"杨心悦"</f>
        <v>杨心悦</v>
      </c>
      <c r="E229" s="6" t="str">
        <f>"202409210826"</f>
        <v>202409210826</v>
      </c>
      <c r="F229" s="6" t="str">
        <f>"08"</f>
        <v>08</v>
      </c>
      <c r="G229" s="6" t="str">
        <f>"26"</f>
        <v>26</v>
      </c>
      <c r="H229" s="7">
        <v>64.61</v>
      </c>
      <c r="I229" s="8">
        <v>33</v>
      </c>
      <c r="J229" s="8"/>
    </row>
    <row r="230" spans="1:10">
      <c r="A230" s="6">
        <v>228</v>
      </c>
      <c r="B230" s="6" t="str">
        <f t="shared" si="3"/>
        <v>0102</v>
      </c>
      <c r="C230" s="6" t="s">
        <v>13</v>
      </c>
      <c r="D230" s="6" t="str">
        <f>"陈佳"</f>
        <v>陈佳</v>
      </c>
      <c r="E230" s="6" t="str">
        <f>"202409211014"</f>
        <v>202409211014</v>
      </c>
      <c r="F230" s="6" t="str">
        <f>"10"</f>
        <v>10</v>
      </c>
      <c r="G230" s="6" t="str">
        <f>"14"</f>
        <v>14</v>
      </c>
      <c r="H230" s="7">
        <v>64.39</v>
      </c>
      <c r="I230" s="8">
        <v>34</v>
      </c>
      <c r="J230" s="8"/>
    </row>
    <row r="231" spans="1:10">
      <c r="A231" s="6">
        <v>229</v>
      </c>
      <c r="B231" s="6" t="str">
        <f t="shared" si="3"/>
        <v>0102</v>
      </c>
      <c r="C231" s="6" t="s">
        <v>13</v>
      </c>
      <c r="D231" s="6" t="str">
        <f>"曾财源"</f>
        <v>曾财源</v>
      </c>
      <c r="E231" s="6" t="str">
        <f>"202409211023"</f>
        <v>202409211023</v>
      </c>
      <c r="F231" s="6" t="str">
        <f>"10"</f>
        <v>10</v>
      </c>
      <c r="G231" s="6" t="str">
        <f>"23"</f>
        <v>23</v>
      </c>
      <c r="H231" s="7">
        <v>64.31</v>
      </c>
      <c r="I231" s="8">
        <v>35</v>
      </c>
      <c r="J231" s="8"/>
    </row>
    <row r="232" spans="1:10">
      <c r="A232" s="6">
        <v>230</v>
      </c>
      <c r="B232" s="6" t="str">
        <f t="shared" si="3"/>
        <v>0102</v>
      </c>
      <c r="C232" s="6" t="s">
        <v>13</v>
      </c>
      <c r="D232" s="6" t="str">
        <f>"陈秋彬"</f>
        <v>陈秋彬</v>
      </c>
      <c r="E232" s="6" t="str">
        <f>"202409211317"</f>
        <v>202409211317</v>
      </c>
      <c r="F232" s="6" t="str">
        <f>"13"</f>
        <v>13</v>
      </c>
      <c r="G232" s="6" t="str">
        <f>"17"</f>
        <v>17</v>
      </c>
      <c r="H232" s="7">
        <v>64.16</v>
      </c>
      <c r="I232" s="8">
        <v>36</v>
      </c>
      <c r="J232" s="8"/>
    </row>
    <row r="233" spans="1:10">
      <c r="A233" s="6">
        <v>231</v>
      </c>
      <c r="B233" s="6" t="str">
        <f t="shared" si="3"/>
        <v>0102</v>
      </c>
      <c r="C233" s="6" t="s">
        <v>13</v>
      </c>
      <c r="D233" s="6" t="str">
        <f>"王诗诗"</f>
        <v>王诗诗</v>
      </c>
      <c r="E233" s="6" t="str">
        <f>"202409210904"</f>
        <v>202409210904</v>
      </c>
      <c r="F233" s="6" t="str">
        <f>"09"</f>
        <v>09</v>
      </c>
      <c r="G233" s="6" t="str">
        <f>"04"</f>
        <v>04</v>
      </c>
      <c r="H233" s="7">
        <v>64.15</v>
      </c>
      <c r="I233" s="8">
        <v>37</v>
      </c>
      <c r="J233" s="8"/>
    </row>
    <row r="234" spans="1:10">
      <c r="A234" s="6">
        <v>232</v>
      </c>
      <c r="B234" s="6" t="str">
        <f t="shared" si="3"/>
        <v>0102</v>
      </c>
      <c r="C234" s="6" t="s">
        <v>13</v>
      </c>
      <c r="D234" s="6" t="str">
        <f>"柳美玉"</f>
        <v>柳美玉</v>
      </c>
      <c r="E234" s="6" t="str">
        <f>"202409210725"</f>
        <v>202409210725</v>
      </c>
      <c r="F234" s="6" t="str">
        <f>"07"</f>
        <v>07</v>
      </c>
      <c r="G234" s="6" t="str">
        <f>"25"</f>
        <v>25</v>
      </c>
      <c r="H234" s="7">
        <v>63.97</v>
      </c>
      <c r="I234" s="8">
        <v>38</v>
      </c>
      <c r="J234" s="8"/>
    </row>
    <row r="235" spans="1:10">
      <c r="A235" s="6">
        <v>233</v>
      </c>
      <c r="B235" s="6" t="str">
        <f t="shared" si="3"/>
        <v>0102</v>
      </c>
      <c r="C235" s="6" t="s">
        <v>13</v>
      </c>
      <c r="D235" s="6" t="str">
        <f>"陈虹亮"</f>
        <v>陈虹亮</v>
      </c>
      <c r="E235" s="6" t="str">
        <f>"202409211104"</f>
        <v>202409211104</v>
      </c>
      <c r="F235" s="6" t="str">
        <f>"11"</f>
        <v>11</v>
      </c>
      <c r="G235" s="6" t="str">
        <f>"04"</f>
        <v>04</v>
      </c>
      <c r="H235" s="7">
        <v>63.59</v>
      </c>
      <c r="I235" s="8">
        <v>39</v>
      </c>
      <c r="J235" s="8"/>
    </row>
    <row r="236" spans="1:10">
      <c r="A236" s="6">
        <v>234</v>
      </c>
      <c r="B236" s="6" t="str">
        <f t="shared" si="3"/>
        <v>0102</v>
      </c>
      <c r="C236" s="6" t="s">
        <v>13</v>
      </c>
      <c r="D236" s="6" t="str">
        <f>"张振丹"</f>
        <v>张振丹</v>
      </c>
      <c r="E236" s="6" t="str">
        <f>"202409211024"</f>
        <v>202409211024</v>
      </c>
      <c r="F236" s="6" t="str">
        <f>"10"</f>
        <v>10</v>
      </c>
      <c r="G236" s="6" t="str">
        <f>"24"</f>
        <v>24</v>
      </c>
      <c r="H236" s="7">
        <v>63.03</v>
      </c>
      <c r="I236" s="8">
        <v>40</v>
      </c>
      <c r="J236" s="8"/>
    </row>
    <row r="237" spans="1:10">
      <c r="A237" s="6">
        <v>235</v>
      </c>
      <c r="B237" s="6" t="str">
        <f t="shared" si="3"/>
        <v>0102</v>
      </c>
      <c r="C237" s="6" t="s">
        <v>13</v>
      </c>
      <c r="D237" s="6" t="str">
        <f>"符海云"</f>
        <v>符海云</v>
      </c>
      <c r="E237" s="6" t="str">
        <f>"202409210821"</f>
        <v>202409210821</v>
      </c>
      <c r="F237" s="6" t="str">
        <f>"08"</f>
        <v>08</v>
      </c>
      <c r="G237" s="6" t="str">
        <f>"21"</f>
        <v>21</v>
      </c>
      <c r="H237" s="7">
        <v>62.62</v>
      </c>
      <c r="I237" s="8">
        <v>41</v>
      </c>
      <c r="J237" s="8"/>
    </row>
    <row r="238" spans="1:10">
      <c r="A238" s="6">
        <v>236</v>
      </c>
      <c r="B238" s="6" t="str">
        <f t="shared" si="3"/>
        <v>0102</v>
      </c>
      <c r="C238" s="6" t="s">
        <v>13</v>
      </c>
      <c r="D238" s="6" t="str">
        <f>"岑慧"</f>
        <v>岑慧</v>
      </c>
      <c r="E238" s="6" t="str">
        <f>"202409211301"</f>
        <v>202409211301</v>
      </c>
      <c r="F238" s="6" t="str">
        <f>"13"</f>
        <v>13</v>
      </c>
      <c r="G238" s="6" t="str">
        <f>"01"</f>
        <v>01</v>
      </c>
      <c r="H238" s="7">
        <v>62.45</v>
      </c>
      <c r="I238" s="8">
        <v>42</v>
      </c>
      <c r="J238" s="8"/>
    </row>
    <row r="239" spans="1:10">
      <c r="A239" s="6">
        <v>237</v>
      </c>
      <c r="B239" s="6" t="str">
        <f t="shared" si="3"/>
        <v>0102</v>
      </c>
      <c r="C239" s="6" t="s">
        <v>13</v>
      </c>
      <c r="D239" s="6" t="str">
        <f>"万滢璞"</f>
        <v>万滢璞</v>
      </c>
      <c r="E239" s="6" t="str">
        <f>"202409210726"</f>
        <v>202409210726</v>
      </c>
      <c r="F239" s="6" t="str">
        <f>"07"</f>
        <v>07</v>
      </c>
      <c r="G239" s="6" t="str">
        <f>"26"</f>
        <v>26</v>
      </c>
      <c r="H239" s="7">
        <v>62.36</v>
      </c>
      <c r="I239" s="8">
        <v>43</v>
      </c>
      <c r="J239" s="8"/>
    </row>
    <row r="240" spans="1:10">
      <c r="A240" s="6">
        <v>238</v>
      </c>
      <c r="B240" s="6" t="str">
        <f t="shared" si="3"/>
        <v>0102</v>
      </c>
      <c r="C240" s="6" t="s">
        <v>13</v>
      </c>
      <c r="D240" s="6" t="str">
        <f>"杨凡"</f>
        <v>杨凡</v>
      </c>
      <c r="E240" s="6" t="str">
        <f>"202409211010"</f>
        <v>202409211010</v>
      </c>
      <c r="F240" s="6" t="str">
        <f>"10"</f>
        <v>10</v>
      </c>
      <c r="G240" s="6" t="str">
        <f>"10"</f>
        <v>10</v>
      </c>
      <c r="H240" s="7">
        <v>62.31</v>
      </c>
      <c r="I240" s="8">
        <v>44</v>
      </c>
      <c r="J240" s="8"/>
    </row>
    <row r="241" spans="1:10">
      <c r="A241" s="6">
        <v>239</v>
      </c>
      <c r="B241" s="6" t="str">
        <f t="shared" si="3"/>
        <v>0102</v>
      </c>
      <c r="C241" s="6" t="s">
        <v>13</v>
      </c>
      <c r="D241" s="6" t="str">
        <f>"王玉珍"</f>
        <v>王玉珍</v>
      </c>
      <c r="E241" s="6" t="str">
        <f>"202409211227"</f>
        <v>202409211227</v>
      </c>
      <c r="F241" s="6" t="str">
        <f>"12"</f>
        <v>12</v>
      </c>
      <c r="G241" s="6" t="str">
        <f>"27"</f>
        <v>27</v>
      </c>
      <c r="H241" s="7">
        <v>62.09</v>
      </c>
      <c r="I241" s="8">
        <v>45</v>
      </c>
      <c r="J241" s="8"/>
    </row>
    <row r="242" spans="1:10">
      <c r="A242" s="6">
        <v>240</v>
      </c>
      <c r="B242" s="6" t="str">
        <f t="shared" si="3"/>
        <v>0102</v>
      </c>
      <c r="C242" s="6" t="s">
        <v>13</v>
      </c>
      <c r="D242" s="6" t="str">
        <f>"郑海玉"</f>
        <v>郑海玉</v>
      </c>
      <c r="E242" s="6" t="str">
        <f>"202409210822"</f>
        <v>202409210822</v>
      </c>
      <c r="F242" s="6" t="str">
        <f>"08"</f>
        <v>08</v>
      </c>
      <c r="G242" s="6" t="str">
        <f>"22"</f>
        <v>22</v>
      </c>
      <c r="H242" s="7">
        <v>62.02</v>
      </c>
      <c r="I242" s="8">
        <v>46</v>
      </c>
      <c r="J242" s="8"/>
    </row>
    <row r="243" spans="1:10">
      <c r="A243" s="6">
        <v>241</v>
      </c>
      <c r="B243" s="6" t="str">
        <f t="shared" si="3"/>
        <v>0102</v>
      </c>
      <c r="C243" s="6" t="s">
        <v>13</v>
      </c>
      <c r="D243" s="6" t="str">
        <f>"黄冰冰"</f>
        <v>黄冰冰</v>
      </c>
      <c r="E243" s="6" t="str">
        <f>"202409211113"</f>
        <v>202409211113</v>
      </c>
      <c r="F243" s="6" t="str">
        <f>"11"</f>
        <v>11</v>
      </c>
      <c r="G243" s="6" t="str">
        <f>"13"</f>
        <v>13</v>
      </c>
      <c r="H243" s="7">
        <v>62.01</v>
      </c>
      <c r="I243" s="8">
        <v>47</v>
      </c>
      <c r="J243" s="8"/>
    </row>
    <row r="244" spans="1:10">
      <c r="A244" s="6">
        <v>242</v>
      </c>
      <c r="B244" s="6" t="str">
        <f t="shared" si="3"/>
        <v>0102</v>
      </c>
      <c r="C244" s="6" t="s">
        <v>13</v>
      </c>
      <c r="D244" s="6" t="str">
        <f>"王丹萍"</f>
        <v>王丹萍</v>
      </c>
      <c r="E244" s="6" t="str">
        <f>"202409211229"</f>
        <v>202409211229</v>
      </c>
      <c r="F244" s="6" t="str">
        <f>"12"</f>
        <v>12</v>
      </c>
      <c r="G244" s="6" t="str">
        <f>"29"</f>
        <v>29</v>
      </c>
      <c r="H244" s="7">
        <v>61.96</v>
      </c>
      <c r="I244" s="8">
        <v>48</v>
      </c>
      <c r="J244" s="8"/>
    </row>
    <row r="245" spans="1:10">
      <c r="A245" s="6">
        <v>243</v>
      </c>
      <c r="B245" s="6" t="str">
        <f t="shared" si="3"/>
        <v>0102</v>
      </c>
      <c r="C245" s="6" t="s">
        <v>13</v>
      </c>
      <c r="D245" s="6" t="str">
        <f>"张瑜香"</f>
        <v>张瑜香</v>
      </c>
      <c r="E245" s="6" t="str">
        <f>"202409211327"</f>
        <v>202409211327</v>
      </c>
      <c r="F245" s="6" t="str">
        <f>"13"</f>
        <v>13</v>
      </c>
      <c r="G245" s="6" t="str">
        <f>"27"</f>
        <v>27</v>
      </c>
      <c r="H245" s="7">
        <v>61.71</v>
      </c>
      <c r="I245" s="8">
        <v>49</v>
      </c>
      <c r="J245" s="8"/>
    </row>
    <row r="246" spans="1:10">
      <c r="A246" s="6">
        <v>244</v>
      </c>
      <c r="B246" s="6" t="str">
        <f t="shared" si="3"/>
        <v>0102</v>
      </c>
      <c r="C246" s="6" t="s">
        <v>13</v>
      </c>
      <c r="D246" s="6" t="str">
        <f>"陈东"</f>
        <v>陈东</v>
      </c>
      <c r="E246" s="6" t="str">
        <f>"202409211316"</f>
        <v>202409211316</v>
      </c>
      <c r="F246" s="6" t="str">
        <f>"13"</f>
        <v>13</v>
      </c>
      <c r="G246" s="6" t="str">
        <f>"16"</f>
        <v>16</v>
      </c>
      <c r="H246" s="7">
        <v>61.45</v>
      </c>
      <c r="I246" s="8">
        <v>50</v>
      </c>
      <c r="J246" s="8"/>
    </row>
    <row r="247" spans="1:10">
      <c r="A247" s="6">
        <v>245</v>
      </c>
      <c r="B247" s="6" t="str">
        <f t="shared" si="3"/>
        <v>0102</v>
      </c>
      <c r="C247" s="6" t="s">
        <v>13</v>
      </c>
      <c r="D247" s="6" t="str">
        <f>"庄瑾怡"</f>
        <v>庄瑾怡</v>
      </c>
      <c r="E247" s="6" t="str">
        <f>"202409210806"</f>
        <v>202409210806</v>
      </c>
      <c r="F247" s="6" t="str">
        <f>"08"</f>
        <v>08</v>
      </c>
      <c r="G247" s="6" t="str">
        <f>"06"</f>
        <v>06</v>
      </c>
      <c r="H247" s="7">
        <v>61.41</v>
      </c>
      <c r="I247" s="8">
        <v>51</v>
      </c>
      <c r="J247" s="8"/>
    </row>
    <row r="248" spans="1:10">
      <c r="A248" s="6">
        <v>246</v>
      </c>
      <c r="B248" s="6" t="str">
        <f t="shared" si="3"/>
        <v>0102</v>
      </c>
      <c r="C248" s="6" t="s">
        <v>13</v>
      </c>
      <c r="D248" s="6" t="str">
        <f>"郑叶梅"</f>
        <v>郑叶梅</v>
      </c>
      <c r="E248" s="6" t="str">
        <f>"202409211015"</f>
        <v>202409211015</v>
      </c>
      <c r="F248" s="6" t="str">
        <f>"10"</f>
        <v>10</v>
      </c>
      <c r="G248" s="6" t="str">
        <f>"15"</f>
        <v>15</v>
      </c>
      <c r="H248" s="7">
        <v>61.32</v>
      </c>
      <c r="I248" s="8">
        <v>52</v>
      </c>
      <c r="J248" s="8"/>
    </row>
    <row r="249" spans="1:10">
      <c r="A249" s="6">
        <v>247</v>
      </c>
      <c r="B249" s="6" t="str">
        <f t="shared" si="3"/>
        <v>0102</v>
      </c>
      <c r="C249" s="6" t="s">
        <v>13</v>
      </c>
      <c r="D249" s="6" t="str">
        <f>"柏平红"</f>
        <v>柏平红</v>
      </c>
      <c r="E249" s="6" t="str">
        <f>"202409211228"</f>
        <v>202409211228</v>
      </c>
      <c r="F249" s="6" t="str">
        <f>"12"</f>
        <v>12</v>
      </c>
      <c r="G249" s="6" t="str">
        <f>"28"</f>
        <v>28</v>
      </c>
      <c r="H249" s="7">
        <v>60.96</v>
      </c>
      <c r="I249" s="8">
        <v>53</v>
      </c>
      <c r="J249" s="8"/>
    </row>
    <row r="250" spans="1:10">
      <c r="A250" s="6">
        <v>248</v>
      </c>
      <c r="B250" s="6" t="str">
        <f t="shared" si="3"/>
        <v>0102</v>
      </c>
      <c r="C250" s="6" t="s">
        <v>13</v>
      </c>
      <c r="D250" s="6" t="str">
        <f>"曾祥美"</f>
        <v>曾祥美</v>
      </c>
      <c r="E250" s="6" t="str">
        <f>"202409211108"</f>
        <v>202409211108</v>
      </c>
      <c r="F250" s="6" t="str">
        <f>"11"</f>
        <v>11</v>
      </c>
      <c r="G250" s="6" t="str">
        <f>"08"</f>
        <v>08</v>
      </c>
      <c r="H250" s="7">
        <v>60.91</v>
      </c>
      <c r="I250" s="8">
        <v>54</v>
      </c>
      <c r="J250" s="8"/>
    </row>
    <row r="251" spans="1:10">
      <c r="A251" s="6">
        <v>249</v>
      </c>
      <c r="B251" s="6" t="str">
        <f t="shared" si="3"/>
        <v>0102</v>
      </c>
      <c r="C251" s="6" t="s">
        <v>13</v>
      </c>
      <c r="D251" s="6" t="str">
        <f>"许莲妹"</f>
        <v>许莲妹</v>
      </c>
      <c r="E251" s="6" t="str">
        <f>"202409210929"</f>
        <v>202409210929</v>
      </c>
      <c r="F251" s="6" t="str">
        <f>"09"</f>
        <v>09</v>
      </c>
      <c r="G251" s="6" t="str">
        <f>"29"</f>
        <v>29</v>
      </c>
      <c r="H251" s="7">
        <v>60.9</v>
      </c>
      <c r="I251" s="8">
        <v>55</v>
      </c>
      <c r="J251" s="8"/>
    </row>
    <row r="252" spans="1:10">
      <c r="A252" s="6">
        <v>250</v>
      </c>
      <c r="B252" s="6" t="str">
        <f t="shared" si="3"/>
        <v>0102</v>
      </c>
      <c r="C252" s="6" t="s">
        <v>13</v>
      </c>
      <c r="D252" s="6" t="str">
        <f>"覃思怡"</f>
        <v>覃思怡</v>
      </c>
      <c r="E252" s="6" t="str">
        <f>"202409211308"</f>
        <v>202409211308</v>
      </c>
      <c r="F252" s="6" t="str">
        <f>"13"</f>
        <v>13</v>
      </c>
      <c r="G252" s="6" t="str">
        <f>"08"</f>
        <v>08</v>
      </c>
      <c r="H252" s="7">
        <v>60.73</v>
      </c>
      <c r="I252" s="8">
        <v>56</v>
      </c>
      <c r="J252" s="8"/>
    </row>
    <row r="253" spans="1:10">
      <c r="A253" s="6">
        <v>251</v>
      </c>
      <c r="B253" s="6" t="str">
        <f t="shared" si="3"/>
        <v>0102</v>
      </c>
      <c r="C253" s="6" t="s">
        <v>13</v>
      </c>
      <c r="D253" s="6" t="str">
        <f>"陈登娜"</f>
        <v>陈登娜</v>
      </c>
      <c r="E253" s="6" t="str">
        <f>"202409210802"</f>
        <v>202409210802</v>
      </c>
      <c r="F253" s="6" t="str">
        <f>"08"</f>
        <v>08</v>
      </c>
      <c r="G253" s="6" t="str">
        <f>"02"</f>
        <v>02</v>
      </c>
      <c r="H253" s="7">
        <v>60.61</v>
      </c>
      <c r="I253" s="8">
        <v>57</v>
      </c>
      <c r="J253" s="8"/>
    </row>
    <row r="254" spans="1:10">
      <c r="A254" s="6">
        <v>252</v>
      </c>
      <c r="B254" s="6" t="str">
        <f t="shared" si="3"/>
        <v>0102</v>
      </c>
      <c r="C254" s="6" t="s">
        <v>13</v>
      </c>
      <c r="D254" s="6" t="str">
        <f>"周慧萍"</f>
        <v>周慧萍</v>
      </c>
      <c r="E254" s="6" t="str">
        <f>"202409210730"</f>
        <v>202409210730</v>
      </c>
      <c r="F254" s="6" t="str">
        <f>"07"</f>
        <v>07</v>
      </c>
      <c r="G254" s="6" t="str">
        <f>"30"</f>
        <v>30</v>
      </c>
      <c r="H254" s="7">
        <v>60.6</v>
      </c>
      <c r="I254" s="8">
        <v>58</v>
      </c>
      <c r="J254" s="8"/>
    </row>
    <row r="255" spans="1:10">
      <c r="A255" s="6">
        <v>253</v>
      </c>
      <c r="B255" s="6" t="str">
        <f t="shared" si="3"/>
        <v>0102</v>
      </c>
      <c r="C255" s="6" t="s">
        <v>13</v>
      </c>
      <c r="D255" s="6" t="str">
        <f>"陈春珠"</f>
        <v>陈春珠</v>
      </c>
      <c r="E255" s="6" t="str">
        <f>"202409210901"</f>
        <v>202409210901</v>
      </c>
      <c r="F255" s="6" t="str">
        <f>"09"</f>
        <v>09</v>
      </c>
      <c r="G255" s="6" t="str">
        <f>"01"</f>
        <v>01</v>
      </c>
      <c r="H255" s="7">
        <v>60.55</v>
      </c>
      <c r="I255" s="8">
        <v>59</v>
      </c>
      <c r="J255" s="8"/>
    </row>
    <row r="256" spans="1:10">
      <c r="A256" s="6">
        <v>254</v>
      </c>
      <c r="B256" s="6" t="str">
        <f t="shared" si="3"/>
        <v>0102</v>
      </c>
      <c r="C256" s="6" t="s">
        <v>13</v>
      </c>
      <c r="D256" s="6" t="str">
        <f>"黄艳艳"</f>
        <v>黄艳艳</v>
      </c>
      <c r="E256" s="6" t="str">
        <f>"202409210809"</f>
        <v>202409210809</v>
      </c>
      <c r="F256" s="6" t="str">
        <f>"08"</f>
        <v>08</v>
      </c>
      <c r="G256" s="6" t="str">
        <f>"09"</f>
        <v>09</v>
      </c>
      <c r="H256" s="7">
        <v>60.25</v>
      </c>
      <c r="I256" s="8">
        <v>60</v>
      </c>
      <c r="J256" s="8"/>
    </row>
    <row r="257" spans="1:10">
      <c r="A257" s="6">
        <v>255</v>
      </c>
      <c r="B257" s="6" t="str">
        <f t="shared" si="3"/>
        <v>0102</v>
      </c>
      <c r="C257" s="6" t="s">
        <v>13</v>
      </c>
      <c r="D257" s="6" t="str">
        <f>"陈丽英"</f>
        <v>陈丽英</v>
      </c>
      <c r="E257" s="6" t="str">
        <f>"202409211215"</f>
        <v>202409211215</v>
      </c>
      <c r="F257" s="6" t="str">
        <f>"12"</f>
        <v>12</v>
      </c>
      <c r="G257" s="6" t="str">
        <f>"15"</f>
        <v>15</v>
      </c>
      <c r="H257" s="7">
        <v>60.19</v>
      </c>
      <c r="I257" s="8">
        <v>61</v>
      </c>
      <c r="J257" s="8"/>
    </row>
    <row r="258" spans="1:10">
      <c r="A258" s="6">
        <v>256</v>
      </c>
      <c r="B258" s="6" t="str">
        <f t="shared" si="3"/>
        <v>0102</v>
      </c>
      <c r="C258" s="6" t="s">
        <v>13</v>
      </c>
      <c r="D258" s="6" t="str">
        <f>"矫芸芸"</f>
        <v>矫芸芸</v>
      </c>
      <c r="E258" s="6" t="str">
        <f>"202409210803"</f>
        <v>202409210803</v>
      </c>
      <c r="F258" s="6" t="str">
        <f>"08"</f>
        <v>08</v>
      </c>
      <c r="G258" s="6" t="str">
        <f>"03"</f>
        <v>03</v>
      </c>
      <c r="H258" s="7">
        <v>60.15</v>
      </c>
      <c r="I258" s="8">
        <v>62</v>
      </c>
      <c r="J258" s="8"/>
    </row>
    <row r="259" spans="1:10">
      <c r="A259" s="6">
        <v>257</v>
      </c>
      <c r="B259" s="6" t="str">
        <f t="shared" si="3"/>
        <v>0102</v>
      </c>
      <c r="C259" s="6" t="s">
        <v>13</v>
      </c>
      <c r="D259" s="6" t="str">
        <f>"陈蓉"</f>
        <v>陈蓉</v>
      </c>
      <c r="E259" s="6" t="str">
        <f>"202409211230"</f>
        <v>202409211230</v>
      </c>
      <c r="F259" s="6" t="str">
        <f>"12"</f>
        <v>12</v>
      </c>
      <c r="G259" s="6" t="str">
        <f>"30"</f>
        <v>30</v>
      </c>
      <c r="H259" s="7">
        <v>60.09</v>
      </c>
      <c r="I259" s="8">
        <v>63</v>
      </c>
      <c r="J259" s="8"/>
    </row>
    <row r="260" spans="1:10">
      <c r="A260" s="6">
        <v>258</v>
      </c>
      <c r="B260" s="6" t="str">
        <f t="shared" si="3"/>
        <v>0102</v>
      </c>
      <c r="C260" s="6" t="s">
        <v>13</v>
      </c>
      <c r="D260" s="6" t="str">
        <f>"吴石月"</f>
        <v>吴石月</v>
      </c>
      <c r="E260" s="6" t="str">
        <f>"202409210817"</f>
        <v>202409210817</v>
      </c>
      <c r="F260" s="6" t="str">
        <f>"08"</f>
        <v>08</v>
      </c>
      <c r="G260" s="6" t="str">
        <f>"17"</f>
        <v>17</v>
      </c>
      <c r="H260" s="7">
        <v>60.02</v>
      </c>
      <c r="I260" s="8">
        <v>64</v>
      </c>
      <c r="J260" s="8"/>
    </row>
    <row r="261" spans="1:10">
      <c r="A261" s="6">
        <v>259</v>
      </c>
      <c r="B261" s="6" t="str">
        <f t="shared" ref="B261:B324" si="4">"0102"</f>
        <v>0102</v>
      </c>
      <c r="C261" s="6" t="s">
        <v>13</v>
      </c>
      <c r="D261" s="6" t="str">
        <f>"符一萍"</f>
        <v>符一萍</v>
      </c>
      <c r="E261" s="6" t="str">
        <f>"202409210810"</f>
        <v>202409210810</v>
      </c>
      <c r="F261" s="6" t="str">
        <f>"08"</f>
        <v>08</v>
      </c>
      <c r="G261" s="6" t="str">
        <f>"10"</f>
        <v>10</v>
      </c>
      <c r="H261" s="7">
        <v>59.97</v>
      </c>
      <c r="I261" s="8">
        <v>65</v>
      </c>
      <c r="J261" s="8"/>
    </row>
    <row r="262" spans="1:10">
      <c r="A262" s="6">
        <v>260</v>
      </c>
      <c r="B262" s="6" t="str">
        <f t="shared" si="4"/>
        <v>0102</v>
      </c>
      <c r="C262" s="6" t="s">
        <v>13</v>
      </c>
      <c r="D262" s="6" t="str">
        <f>"潘钰"</f>
        <v>潘钰</v>
      </c>
      <c r="E262" s="6" t="str">
        <f>"202409211006"</f>
        <v>202409211006</v>
      </c>
      <c r="F262" s="6" t="str">
        <f>"10"</f>
        <v>10</v>
      </c>
      <c r="G262" s="6" t="str">
        <f>"06"</f>
        <v>06</v>
      </c>
      <c r="H262" s="7">
        <v>59.97</v>
      </c>
      <c r="I262" s="8">
        <v>66</v>
      </c>
      <c r="J262" s="8"/>
    </row>
    <row r="263" spans="1:10">
      <c r="A263" s="6">
        <v>261</v>
      </c>
      <c r="B263" s="6" t="str">
        <f t="shared" si="4"/>
        <v>0102</v>
      </c>
      <c r="C263" s="6" t="s">
        <v>13</v>
      </c>
      <c r="D263" s="6" t="str">
        <f>"林丹"</f>
        <v>林丹</v>
      </c>
      <c r="E263" s="6" t="str">
        <f>"202409211021"</f>
        <v>202409211021</v>
      </c>
      <c r="F263" s="6" t="str">
        <f>"10"</f>
        <v>10</v>
      </c>
      <c r="G263" s="6" t="str">
        <f>"21"</f>
        <v>21</v>
      </c>
      <c r="H263" s="7">
        <v>59.91</v>
      </c>
      <c r="I263" s="8">
        <v>67</v>
      </c>
      <c r="J263" s="8"/>
    </row>
    <row r="264" spans="1:10">
      <c r="A264" s="6">
        <v>262</v>
      </c>
      <c r="B264" s="6" t="str">
        <f t="shared" si="4"/>
        <v>0102</v>
      </c>
      <c r="C264" s="6" t="s">
        <v>13</v>
      </c>
      <c r="D264" s="6" t="str">
        <f>"李秀月"</f>
        <v>李秀月</v>
      </c>
      <c r="E264" s="6" t="str">
        <f>"202409210829"</f>
        <v>202409210829</v>
      </c>
      <c r="F264" s="6" t="str">
        <f>"08"</f>
        <v>08</v>
      </c>
      <c r="G264" s="6" t="str">
        <f>"29"</f>
        <v>29</v>
      </c>
      <c r="H264" s="7">
        <v>59.86</v>
      </c>
      <c r="I264" s="8">
        <v>68</v>
      </c>
      <c r="J264" s="8"/>
    </row>
    <row r="265" spans="1:10">
      <c r="A265" s="6">
        <v>263</v>
      </c>
      <c r="B265" s="6" t="str">
        <f t="shared" si="4"/>
        <v>0102</v>
      </c>
      <c r="C265" s="6" t="s">
        <v>13</v>
      </c>
      <c r="D265" s="6" t="str">
        <f>"王执灵"</f>
        <v>王执灵</v>
      </c>
      <c r="E265" s="6" t="str">
        <f>"202409210902"</f>
        <v>202409210902</v>
      </c>
      <c r="F265" s="6" t="str">
        <f>"09"</f>
        <v>09</v>
      </c>
      <c r="G265" s="6" t="str">
        <f>"02"</f>
        <v>02</v>
      </c>
      <c r="H265" s="7">
        <v>59.56</v>
      </c>
      <c r="I265" s="8">
        <v>69</v>
      </c>
      <c r="J265" s="8"/>
    </row>
    <row r="266" spans="1:10">
      <c r="A266" s="6">
        <v>264</v>
      </c>
      <c r="B266" s="6" t="str">
        <f t="shared" si="4"/>
        <v>0102</v>
      </c>
      <c r="C266" s="6" t="s">
        <v>13</v>
      </c>
      <c r="D266" s="6" t="str">
        <f>"陈婆桃"</f>
        <v>陈婆桃</v>
      </c>
      <c r="E266" s="6" t="str">
        <f>"202409210716"</f>
        <v>202409210716</v>
      </c>
      <c r="F266" s="6" t="str">
        <f>"07"</f>
        <v>07</v>
      </c>
      <c r="G266" s="6" t="str">
        <f>"16"</f>
        <v>16</v>
      </c>
      <c r="H266" s="7">
        <v>59.55</v>
      </c>
      <c r="I266" s="8">
        <v>70</v>
      </c>
      <c r="J266" s="8"/>
    </row>
    <row r="267" spans="1:10">
      <c r="A267" s="6">
        <v>265</v>
      </c>
      <c r="B267" s="6" t="str">
        <f t="shared" si="4"/>
        <v>0102</v>
      </c>
      <c r="C267" s="6" t="s">
        <v>13</v>
      </c>
      <c r="D267" s="6" t="str">
        <f>"曾孟婷"</f>
        <v>曾孟婷</v>
      </c>
      <c r="E267" s="6" t="str">
        <f>"202409210818"</f>
        <v>202409210818</v>
      </c>
      <c r="F267" s="6" t="str">
        <f>"08"</f>
        <v>08</v>
      </c>
      <c r="G267" s="6" t="str">
        <f>"18"</f>
        <v>18</v>
      </c>
      <c r="H267" s="7">
        <v>59.41</v>
      </c>
      <c r="I267" s="8">
        <v>71</v>
      </c>
      <c r="J267" s="8"/>
    </row>
    <row r="268" spans="1:10">
      <c r="A268" s="6">
        <v>266</v>
      </c>
      <c r="B268" s="6" t="str">
        <f t="shared" si="4"/>
        <v>0102</v>
      </c>
      <c r="C268" s="6" t="s">
        <v>13</v>
      </c>
      <c r="D268" s="6" t="str">
        <f>"陈婷婷"</f>
        <v>陈婷婷</v>
      </c>
      <c r="E268" s="6" t="str">
        <f>"202409211118"</f>
        <v>202409211118</v>
      </c>
      <c r="F268" s="6" t="str">
        <f>"11"</f>
        <v>11</v>
      </c>
      <c r="G268" s="6" t="str">
        <f>"18"</f>
        <v>18</v>
      </c>
      <c r="H268" s="7">
        <v>59.26</v>
      </c>
      <c r="I268" s="8">
        <v>72</v>
      </c>
      <c r="J268" s="8"/>
    </row>
    <row r="269" spans="1:10">
      <c r="A269" s="6">
        <v>267</v>
      </c>
      <c r="B269" s="6" t="str">
        <f t="shared" si="4"/>
        <v>0102</v>
      </c>
      <c r="C269" s="6" t="s">
        <v>13</v>
      </c>
      <c r="D269" s="6" t="str">
        <f>"符庭婷"</f>
        <v>符庭婷</v>
      </c>
      <c r="E269" s="6" t="str">
        <f>"202409210807"</f>
        <v>202409210807</v>
      </c>
      <c r="F269" s="6" t="str">
        <f>"08"</f>
        <v>08</v>
      </c>
      <c r="G269" s="6" t="str">
        <f>"07"</f>
        <v>07</v>
      </c>
      <c r="H269" s="7">
        <v>58.95</v>
      </c>
      <c r="I269" s="8">
        <v>73</v>
      </c>
      <c r="J269" s="8"/>
    </row>
    <row r="270" spans="1:10">
      <c r="A270" s="6">
        <v>268</v>
      </c>
      <c r="B270" s="6" t="str">
        <f t="shared" si="4"/>
        <v>0102</v>
      </c>
      <c r="C270" s="6" t="s">
        <v>13</v>
      </c>
      <c r="D270" s="6" t="str">
        <f>"卢丽丹"</f>
        <v>卢丽丹</v>
      </c>
      <c r="E270" s="6" t="str">
        <f>"202409211025"</f>
        <v>202409211025</v>
      </c>
      <c r="F270" s="6" t="str">
        <f>"10"</f>
        <v>10</v>
      </c>
      <c r="G270" s="6" t="str">
        <f>"25"</f>
        <v>25</v>
      </c>
      <c r="H270" s="7">
        <v>58.85</v>
      </c>
      <c r="I270" s="8">
        <v>74</v>
      </c>
      <c r="J270" s="8"/>
    </row>
    <row r="271" spans="1:10">
      <c r="A271" s="6">
        <v>269</v>
      </c>
      <c r="B271" s="6" t="str">
        <f t="shared" si="4"/>
        <v>0102</v>
      </c>
      <c r="C271" s="6" t="s">
        <v>13</v>
      </c>
      <c r="D271" s="6" t="str">
        <f>"郑玉茉"</f>
        <v>郑玉茉</v>
      </c>
      <c r="E271" s="6" t="str">
        <f>"202409210729"</f>
        <v>202409210729</v>
      </c>
      <c r="F271" s="6" t="str">
        <f>"07"</f>
        <v>07</v>
      </c>
      <c r="G271" s="6" t="str">
        <f>"29"</f>
        <v>29</v>
      </c>
      <c r="H271" s="7">
        <v>58.68</v>
      </c>
      <c r="I271" s="8">
        <v>75</v>
      </c>
      <c r="J271" s="8"/>
    </row>
    <row r="272" spans="1:10">
      <c r="A272" s="6">
        <v>270</v>
      </c>
      <c r="B272" s="6" t="str">
        <f t="shared" si="4"/>
        <v>0102</v>
      </c>
      <c r="C272" s="6" t="s">
        <v>13</v>
      </c>
      <c r="D272" s="6" t="str">
        <f>"刘君"</f>
        <v>刘君</v>
      </c>
      <c r="E272" s="6" t="str">
        <f>"202409210820"</f>
        <v>202409210820</v>
      </c>
      <c r="F272" s="6" t="str">
        <f>"08"</f>
        <v>08</v>
      </c>
      <c r="G272" s="6" t="str">
        <f>"20"</f>
        <v>20</v>
      </c>
      <c r="H272" s="7">
        <v>58.65</v>
      </c>
      <c r="I272" s="8">
        <v>76</v>
      </c>
      <c r="J272" s="8"/>
    </row>
    <row r="273" spans="1:10">
      <c r="A273" s="6">
        <v>271</v>
      </c>
      <c r="B273" s="6" t="str">
        <f t="shared" si="4"/>
        <v>0102</v>
      </c>
      <c r="C273" s="6" t="s">
        <v>13</v>
      </c>
      <c r="D273" s="6" t="str">
        <f>"罗茜"</f>
        <v>罗茜</v>
      </c>
      <c r="E273" s="6" t="str">
        <f>"202409211314"</f>
        <v>202409211314</v>
      </c>
      <c r="F273" s="6" t="str">
        <f>"13"</f>
        <v>13</v>
      </c>
      <c r="G273" s="6" t="str">
        <f>"14"</f>
        <v>14</v>
      </c>
      <c r="H273" s="7">
        <v>58.61</v>
      </c>
      <c r="I273" s="8">
        <v>77</v>
      </c>
      <c r="J273" s="8"/>
    </row>
    <row r="274" spans="1:10">
      <c r="A274" s="6">
        <v>272</v>
      </c>
      <c r="B274" s="6" t="str">
        <f t="shared" si="4"/>
        <v>0102</v>
      </c>
      <c r="C274" s="6" t="s">
        <v>13</v>
      </c>
      <c r="D274" s="6" t="str">
        <f>"曾冰"</f>
        <v>曾冰</v>
      </c>
      <c r="E274" s="6" t="str">
        <f>"202409211318"</f>
        <v>202409211318</v>
      </c>
      <c r="F274" s="6" t="str">
        <f>"13"</f>
        <v>13</v>
      </c>
      <c r="G274" s="6" t="str">
        <f>"18"</f>
        <v>18</v>
      </c>
      <c r="H274" s="7">
        <v>58.56</v>
      </c>
      <c r="I274" s="8">
        <v>78</v>
      </c>
      <c r="J274" s="8"/>
    </row>
    <row r="275" spans="1:10">
      <c r="A275" s="6">
        <v>273</v>
      </c>
      <c r="B275" s="6" t="str">
        <f t="shared" si="4"/>
        <v>0102</v>
      </c>
      <c r="C275" s="6" t="s">
        <v>13</v>
      </c>
      <c r="D275" s="6" t="str">
        <f>"唐莉"</f>
        <v>唐莉</v>
      </c>
      <c r="E275" s="6" t="str">
        <f>"202409211028"</f>
        <v>202409211028</v>
      </c>
      <c r="F275" s="6" t="str">
        <f>"10"</f>
        <v>10</v>
      </c>
      <c r="G275" s="6" t="str">
        <f>"28"</f>
        <v>28</v>
      </c>
      <c r="H275" s="7">
        <v>58.48</v>
      </c>
      <c r="I275" s="8">
        <v>79</v>
      </c>
      <c r="J275" s="8"/>
    </row>
    <row r="276" spans="1:10">
      <c r="A276" s="6">
        <v>274</v>
      </c>
      <c r="B276" s="6" t="str">
        <f t="shared" si="4"/>
        <v>0102</v>
      </c>
      <c r="C276" s="6" t="s">
        <v>13</v>
      </c>
      <c r="D276" s="6" t="str">
        <f>"吴芷媛"</f>
        <v>吴芷媛</v>
      </c>
      <c r="E276" s="6" t="str">
        <f>"202409210724"</f>
        <v>202409210724</v>
      </c>
      <c r="F276" s="6" t="str">
        <f>"07"</f>
        <v>07</v>
      </c>
      <c r="G276" s="6" t="str">
        <f>"24"</f>
        <v>24</v>
      </c>
      <c r="H276" s="7">
        <v>58.4</v>
      </c>
      <c r="I276" s="8">
        <v>80</v>
      </c>
      <c r="J276" s="8"/>
    </row>
    <row r="277" spans="1:10">
      <c r="A277" s="6">
        <v>275</v>
      </c>
      <c r="B277" s="6" t="str">
        <f t="shared" si="4"/>
        <v>0102</v>
      </c>
      <c r="C277" s="6" t="s">
        <v>13</v>
      </c>
      <c r="D277" s="6" t="str">
        <f>"赖宁霞"</f>
        <v>赖宁霞</v>
      </c>
      <c r="E277" s="6" t="str">
        <f>"202409211016"</f>
        <v>202409211016</v>
      </c>
      <c r="F277" s="6" t="str">
        <f>"10"</f>
        <v>10</v>
      </c>
      <c r="G277" s="6" t="str">
        <f>"16"</f>
        <v>16</v>
      </c>
      <c r="H277" s="7">
        <v>58.23</v>
      </c>
      <c r="I277" s="8">
        <v>81</v>
      </c>
      <c r="J277" s="8"/>
    </row>
    <row r="278" spans="1:10">
      <c r="A278" s="6">
        <v>276</v>
      </c>
      <c r="B278" s="6" t="str">
        <f t="shared" si="4"/>
        <v>0102</v>
      </c>
      <c r="C278" s="6" t="s">
        <v>13</v>
      </c>
      <c r="D278" s="6" t="str">
        <f>"温玉婷"</f>
        <v>温玉婷</v>
      </c>
      <c r="E278" s="6" t="str">
        <f>"202409211302"</f>
        <v>202409211302</v>
      </c>
      <c r="F278" s="6" t="str">
        <f>"13"</f>
        <v>13</v>
      </c>
      <c r="G278" s="6" t="str">
        <f>"02"</f>
        <v>02</v>
      </c>
      <c r="H278" s="7">
        <v>58.21</v>
      </c>
      <c r="I278" s="8">
        <v>82</v>
      </c>
      <c r="J278" s="8"/>
    </row>
    <row r="279" spans="1:10">
      <c r="A279" s="6">
        <v>277</v>
      </c>
      <c r="B279" s="6" t="str">
        <f t="shared" si="4"/>
        <v>0102</v>
      </c>
      <c r="C279" s="6" t="s">
        <v>13</v>
      </c>
      <c r="D279" s="6" t="str">
        <f>"刘文静"</f>
        <v>刘文静</v>
      </c>
      <c r="E279" s="6" t="str">
        <f>"202409210805"</f>
        <v>202409210805</v>
      </c>
      <c r="F279" s="6" t="str">
        <f>"08"</f>
        <v>08</v>
      </c>
      <c r="G279" s="6" t="str">
        <f>"05"</f>
        <v>05</v>
      </c>
      <c r="H279" s="7">
        <v>58.18</v>
      </c>
      <c r="I279" s="8">
        <v>83</v>
      </c>
      <c r="J279" s="8"/>
    </row>
    <row r="280" spans="1:10">
      <c r="A280" s="6">
        <v>278</v>
      </c>
      <c r="B280" s="6" t="str">
        <f t="shared" si="4"/>
        <v>0102</v>
      </c>
      <c r="C280" s="6" t="s">
        <v>13</v>
      </c>
      <c r="D280" s="6" t="str">
        <f>"朱春菊"</f>
        <v>朱春菊</v>
      </c>
      <c r="E280" s="6" t="str">
        <f>"202409211329"</f>
        <v>202409211329</v>
      </c>
      <c r="F280" s="6" t="str">
        <f>"13"</f>
        <v>13</v>
      </c>
      <c r="G280" s="6" t="str">
        <f>"29"</f>
        <v>29</v>
      </c>
      <c r="H280" s="7">
        <v>58.12</v>
      </c>
      <c r="I280" s="8">
        <v>84</v>
      </c>
      <c r="J280" s="8"/>
    </row>
    <row r="281" spans="1:10">
      <c r="A281" s="6">
        <v>279</v>
      </c>
      <c r="B281" s="6" t="str">
        <f t="shared" si="4"/>
        <v>0102</v>
      </c>
      <c r="C281" s="6" t="s">
        <v>13</v>
      </c>
      <c r="D281" s="6" t="str">
        <f>"文叶群"</f>
        <v>文叶群</v>
      </c>
      <c r="E281" s="6" t="str">
        <f>"202409211119"</f>
        <v>202409211119</v>
      </c>
      <c r="F281" s="6" t="str">
        <f>"11"</f>
        <v>11</v>
      </c>
      <c r="G281" s="6" t="str">
        <f>"19"</f>
        <v>19</v>
      </c>
      <c r="H281" s="7">
        <v>57.86</v>
      </c>
      <c r="I281" s="8">
        <v>85</v>
      </c>
      <c r="J281" s="8"/>
    </row>
    <row r="282" spans="1:10">
      <c r="A282" s="6">
        <v>280</v>
      </c>
      <c r="B282" s="6" t="str">
        <f t="shared" si="4"/>
        <v>0102</v>
      </c>
      <c r="C282" s="6" t="s">
        <v>13</v>
      </c>
      <c r="D282" s="6" t="str">
        <f>"蔡金萍"</f>
        <v>蔡金萍</v>
      </c>
      <c r="E282" s="6" t="str">
        <f>"202409211012"</f>
        <v>202409211012</v>
      </c>
      <c r="F282" s="6" t="str">
        <f>"10"</f>
        <v>10</v>
      </c>
      <c r="G282" s="6" t="str">
        <f>"12"</f>
        <v>12</v>
      </c>
      <c r="H282" s="7">
        <v>57.83</v>
      </c>
      <c r="I282" s="8">
        <v>86</v>
      </c>
      <c r="J282" s="8"/>
    </row>
    <row r="283" spans="1:10">
      <c r="A283" s="6">
        <v>281</v>
      </c>
      <c r="B283" s="6" t="str">
        <f t="shared" si="4"/>
        <v>0102</v>
      </c>
      <c r="C283" s="6" t="s">
        <v>13</v>
      </c>
      <c r="D283" s="6" t="str">
        <f>"王精姑"</f>
        <v>王精姑</v>
      </c>
      <c r="E283" s="6" t="str">
        <f>"202409210830"</f>
        <v>202409210830</v>
      </c>
      <c r="F283" s="6" t="str">
        <f>"08"</f>
        <v>08</v>
      </c>
      <c r="G283" s="6" t="str">
        <f>"30"</f>
        <v>30</v>
      </c>
      <c r="H283" s="7">
        <v>57.79</v>
      </c>
      <c r="I283" s="8">
        <v>87</v>
      </c>
      <c r="J283" s="8"/>
    </row>
    <row r="284" spans="1:10">
      <c r="A284" s="6">
        <v>282</v>
      </c>
      <c r="B284" s="6" t="str">
        <f t="shared" si="4"/>
        <v>0102</v>
      </c>
      <c r="C284" s="6" t="s">
        <v>13</v>
      </c>
      <c r="D284" s="6" t="str">
        <f>"卢武芸"</f>
        <v>卢武芸</v>
      </c>
      <c r="E284" s="6" t="str">
        <f>"202409211323"</f>
        <v>202409211323</v>
      </c>
      <c r="F284" s="6" t="str">
        <f>"13"</f>
        <v>13</v>
      </c>
      <c r="G284" s="6" t="str">
        <f>"23"</f>
        <v>23</v>
      </c>
      <c r="H284" s="7">
        <v>57.74</v>
      </c>
      <c r="I284" s="8">
        <v>88</v>
      </c>
      <c r="J284" s="8"/>
    </row>
    <row r="285" spans="1:10">
      <c r="A285" s="6">
        <v>283</v>
      </c>
      <c r="B285" s="6" t="str">
        <f t="shared" si="4"/>
        <v>0102</v>
      </c>
      <c r="C285" s="6" t="s">
        <v>13</v>
      </c>
      <c r="D285" s="6" t="str">
        <f>"张宝樱"</f>
        <v>张宝樱</v>
      </c>
      <c r="E285" s="6" t="str">
        <f>"202409211029"</f>
        <v>202409211029</v>
      </c>
      <c r="F285" s="6" t="str">
        <f>"10"</f>
        <v>10</v>
      </c>
      <c r="G285" s="6" t="str">
        <f>"29"</f>
        <v>29</v>
      </c>
      <c r="H285" s="7">
        <v>57.41</v>
      </c>
      <c r="I285" s="8">
        <v>89</v>
      </c>
      <c r="J285" s="8"/>
    </row>
    <row r="286" spans="1:10">
      <c r="A286" s="6">
        <v>284</v>
      </c>
      <c r="B286" s="6" t="str">
        <f t="shared" si="4"/>
        <v>0102</v>
      </c>
      <c r="C286" s="6" t="s">
        <v>13</v>
      </c>
      <c r="D286" s="6" t="str">
        <f>"李荣欣"</f>
        <v>李荣欣</v>
      </c>
      <c r="E286" s="6" t="str">
        <f>"202409211017"</f>
        <v>202409211017</v>
      </c>
      <c r="F286" s="6" t="str">
        <f>"10"</f>
        <v>10</v>
      </c>
      <c r="G286" s="6" t="str">
        <f>"17"</f>
        <v>17</v>
      </c>
      <c r="H286" s="7">
        <v>57.33</v>
      </c>
      <c r="I286" s="8">
        <v>90</v>
      </c>
      <c r="J286" s="8"/>
    </row>
    <row r="287" spans="1:10">
      <c r="A287" s="6">
        <v>285</v>
      </c>
      <c r="B287" s="6" t="str">
        <f t="shared" si="4"/>
        <v>0102</v>
      </c>
      <c r="C287" s="6" t="s">
        <v>13</v>
      </c>
      <c r="D287" s="6" t="str">
        <f>"王位姨"</f>
        <v>王位姨</v>
      </c>
      <c r="E287" s="6" t="str">
        <f>"202409210723"</f>
        <v>202409210723</v>
      </c>
      <c r="F287" s="6" t="str">
        <f>"07"</f>
        <v>07</v>
      </c>
      <c r="G287" s="6" t="str">
        <f>"23"</f>
        <v>23</v>
      </c>
      <c r="H287" s="7">
        <v>57.29</v>
      </c>
      <c r="I287" s="8">
        <v>91</v>
      </c>
      <c r="J287" s="8"/>
    </row>
    <row r="288" spans="1:10">
      <c r="A288" s="6">
        <v>286</v>
      </c>
      <c r="B288" s="6" t="str">
        <f t="shared" si="4"/>
        <v>0102</v>
      </c>
      <c r="C288" s="6" t="s">
        <v>13</v>
      </c>
      <c r="D288" s="6" t="str">
        <f>"张晓妮"</f>
        <v>张晓妮</v>
      </c>
      <c r="E288" s="6" t="str">
        <f>"202409211022"</f>
        <v>202409211022</v>
      </c>
      <c r="F288" s="6" t="str">
        <f>"10"</f>
        <v>10</v>
      </c>
      <c r="G288" s="6" t="str">
        <f>"22"</f>
        <v>22</v>
      </c>
      <c r="H288" s="7">
        <v>56.85</v>
      </c>
      <c r="I288" s="8">
        <v>92</v>
      </c>
      <c r="J288" s="8"/>
    </row>
    <row r="289" spans="1:10">
      <c r="A289" s="6">
        <v>287</v>
      </c>
      <c r="B289" s="6" t="str">
        <f t="shared" si="4"/>
        <v>0102</v>
      </c>
      <c r="C289" s="6" t="s">
        <v>13</v>
      </c>
      <c r="D289" s="6" t="str">
        <f>"韦慧"</f>
        <v>韦慧</v>
      </c>
      <c r="E289" s="6" t="str">
        <f>"202409211309"</f>
        <v>202409211309</v>
      </c>
      <c r="F289" s="6" t="str">
        <f>"13"</f>
        <v>13</v>
      </c>
      <c r="G289" s="6" t="str">
        <f>"09"</f>
        <v>09</v>
      </c>
      <c r="H289" s="7">
        <v>56.62</v>
      </c>
      <c r="I289" s="8">
        <v>93</v>
      </c>
      <c r="J289" s="8"/>
    </row>
    <row r="290" spans="1:10">
      <c r="A290" s="6">
        <v>288</v>
      </c>
      <c r="B290" s="6" t="str">
        <f t="shared" si="4"/>
        <v>0102</v>
      </c>
      <c r="C290" s="6" t="s">
        <v>13</v>
      </c>
      <c r="D290" s="6" t="str">
        <f>"周林朱"</f>
        <v>周林朱</v>
      </c>
      <c r="E290" s="6" t="str">
        <f>"202409211322"</f>
        <v>202409211322</v>
      </c>
      <c r="F290" s="6" t="str">
        <f>"13"</f>
        <v>13</v>
      </c>
      <c r="G290" s="6" t="str">
        <f>"22"</f>
        <v>22</v>
      </c>
      <c r="H290" s="7">
        <v>56.62</v>
      </c>
      <c r="I290" s="8">
        <v>94</v>
      </c>
      <c r="J290" s="8"/>
    </row>
    <row r="291" spans="1:10">
      <c r="A291" s="6">
        <v>289</v>
      </c>
      <c r="B291" s="6" t="str">
        <f t="shared" si="4"/>
        <v>0102</v>
      </c>
      <c r="C291" s="6" t="s">
        <v>13</v>
      </c>
      <c r="D291" s="6" t="str">
        <f>"符启娟"</f>
        <v>符启娟</v>
      </c>
      <c r="E291" s="6" t="str">
        <f>"202409211105"</f>
        <v>202409211105</v>
      </c>
      <c r="F291" s="6" t="str">
        <f>"11"</f>
        <v>11</v>
      </c>
      <c r="G291" s="6" t="str">
        <f>"05"</f>
        <v>05</v>
      </c>
      <c r="H291" s="7">
        <v>56.33</v>
      </c>
      <c r="I291" s="8">
        <v>95</v>
      </c>
      <c r="J291" s="8"/>
    </row>
    <row r="292" spans="1:10">
      <c r="A292" s="6">
        <v>290</v>
      </c>
      <c r="B292" s="6" t="str">
        <f t="shared" si="4"/>
        <v>0102</v>
      </c>
      <c r="C292" s="6" t="s">
        <v>13</v>
      </c>
      <c r="D292" s="6" t="str">
        <f>"邢少娜"</f>
        <v>邢少娜</v>
      </c>
      <c r="E292" s="6" t="str">
        <f>"202409211219"</f>
        <v>202409211219</v>
      </c>
      <c r="F292" s="6" t="str">
        <f>"12"</f>
        <v>12</v>
      </c>
      <c r="G292" s="6" t="str">
        <f>"19"</f>
        <v>19</v>
      </c>
      <c r="H292" s="7">
        <v>56.3</v>
      </c>
      <c r="I292" s="8">
        <v>96</v>
      </c>
      <c r="J292" s="8"/>
    </row>
    <row r="293" spans="1:10">
      <c r="A293" s="6">
        <v>291</v>
      </c>
      <c r="B293" s="6" t="str">
        <f t="shared" si="4"/>
        <v>0102</v>
      </c>
      <c r="C293" s="6" t="s">
        <v>13</v>
      </c>
      <c r="D293" s="6" t="str">
        <f>"李慧"</f>
        <v>李慧</v>
      </c>
      <c r="E293" s="6" t="str">
        <f>"202409211402"</f>
        <v>202409211402</v>
      </c>
      <c r="F293" s="6" t="str">
        <f>"14"</f>
        <v>14</v>
      </c>
      <c r="G293" s="6" t="str">
        <f>"02"</f>
        <v>02</v>
      </c>
      <c r="H293" s="7">
        <v>56.27</v>
      </c>
      <c r="I293" s="8">
        <v>97</v>
      </c>
      <c r="J293" s="8"/>
    </row>
    <row r="294" spans="1:10">
      <c r="A294" s="6">
        <v>292</v>
      </c>
      <c r="B294" s="6" t="str">
        <f t="shared" si="4"/>
        <v>0102</v>
      </c>
      <c r="C294" s="6" t="s">
        <v>13</v>
      </c>
      <c r="D294" s="6" t="str">
        <f>"王萍"</f>
        <v>王萍</v>
      </c>
      <c r="E294" s="6" t="str">
        <f>"202409211210"</f>
        <v>202409211210</v>
      </c>
      <c r="F294" s="6" t="str">
        <f>"12"</f>
        <v>12</v>
      </c>
      <c r="G294" s="6" t="str">
        <f>"10"</f>
        <v>10</v>
      </c>
      <c r="H294" s="7">
        <v>56.16</v>
      </c>
      <c r="I294" s="8">
        <v>98</v>
      </c>
      <c r="J294" s="8"/>
    </row>
    <row r="295" spans="1:10">
      <c r="A295" s="6">
        <v>293</v>
      </c>
      <c r="B295" s="6" t="str">
        <f t="shared" si="4"/>
        <v>0102</v>
      </c>
      <c r="C295" s="6" t="s">
        <v>13</v>
      </c>
      <c r="D295" s="6" t="str">
        <f>"林文露"</f>
        <v>林文露</v>
      </c>
      <c r="E295" s="6" t="str">
        <f>"202409211404"</f>
        <v>202409211404</v>
      </c>
      <c r="F295" s="6" t="str">
        <f>"14"</f>
        <v>14</v>
      </c>
      <c r="G295" s="6" t="str">
        <f>"04"</f>
        <v>04</v>
      </c>
      <c r="H295" s="7">
        <v>56.11</v>
      </c>
      <c r="I295" s="8">
        <v>99</v>
      </c>
      <c r="J295" s="8"/>
    </row>
    <row r="296" spans="1:10">
      <c r="A296" s="6">
        <v>294</v>
      </c>
      <c r="B296" s="6" t="str">
        <f t="shared" si="4"/>
        <v>0102</v>
      </c>
      <c r="C296" s="6" t="s">
        <v>13</v>
      </c>
      <c r="D296" s="6" t="str">
        <f>"王舅"</f>
        <v>王舅</v>
      </c>
      <c r="E296" s="6" t="str">
        <f>"202409210921"</f>
        <v>202409210921</v>
      </c>
      <c r="F296" s="6" t="str">
        <f>"09"</f>
        <v>09</v>
      </c>
      <c r="G296" s="6" t="str">
        <f>"21"</f>
        <v>21</v>
      </c>
      <c r="H296" s="7">
        <v>56.06</v>
      </c>
      <c r="I296" s="8">
        <v>100</v>
      </c>
      <c r="J296" s="8"/>
    </row>
    <row r="297" spans="1:10">
      <c r="A297" s="6">
        <v>295</v>
      </c>
      <c r="B297" s="6" t="str">
        <f t="shared" si="4"/>
        <v>0102</v>
      </c>
      <c r="C297" s="6" t="s">
        <v>13</v>
      </c>
      <c r="D297" s="6" t="str">
        <f>"陈娇娇"</f>
        <v>陈娇娇</v>
      </c>
      <c r="E297" s="6" t="str">
        <f>"202409211116"</f>
        <v>202409211116</v>
      </c>
      <c r="F297" s="6" t="str">
        <f>"11"</f>
        <v>11</v>
      </c>
      <c r="G297" s="6" t="str">
        <f>"16"</f>
        <v>16</v>
      </c>
      <c r="H297" s="7">
        <v>55.94</v>
      </c>
      <c r="I297" s="8">
        <v>101</v>
      </c>
      <c r="J297" s="8"/>
    </row>
    <row r="298" spans="1:10">
      <c r="A298" s="6">
        <v>296</v>
      </c>
      <c r="B298" s="6" t="str">
        <f t="shared" si="4"/>
        <v>0102</v>
      </c>
      <c r="C298" s="6" t="s">
        <v>13</v>
      </c>
      <c r="D298" s="6" t="str">
        <f>"童声波"</f>
        <v>童声波</v>
      </c>
      <c r="E298" s="6" t="str">
        <f>"202409211223"</f>
        <v>202409211223</v>
      </c>
      <c r="F298" s="6" t="str">
        <f>"12"</f>
        <v>12</v>
      </c>
      <c r="G298" s="6" t="str">
        <f>"23"</f>
        <v>23</v>
      </c>
      <c r="H298" s="7">
        <v>55.93</v>
      </c>
      <c r="I298" s="8">
        <v>102</v>
      </c>
      <c r="J298" s="8"/>
    </row>
    <row r="299" spans="1:10">
      <c r="A299" s="6">
        <v>297</v>
      </c>
      <c r="B299" s="6" t="str">
        <f t="shared" si="4"/>
        <v>0102</v>
      </c>
      <c r="C299" s="6" t="s">
        <v>13</v>
      </c>
      <c r="D299" s="6" t="str">
        <f>"陈丽丹"</f>
        <v>陈丽丹</v>
      </c>
      <c r="E299" s="6" t="str">
        <f>"202409211313"</f>
        <v>202409211313</v>
      </c>
      <c r="F299" s="6" t="str">
        <f>"13"</f>
        <v>13</v>
      </c>
      <c r="G299" s="6" t="str">
        <f>"13"</f>
        <v>13</v>
      </c>
      <c r="H299" s="7">
        <v>55.88</v>
      </c>
      <c r="I299" s="8">
        <v>103</v>
      </c>
      <c r="J299" s="8"/>
    </row>
    <row r="300" spans="1:10">
      <c r="A300" s="6">
        <v>298</v>
      </c>
      <c r="B300" s="6" t="str">
        <f t="shared" si="4"/>
        <v>0102</v>
      </c>
      <c r="C300" s="6" t="s">
        <v>13</v>
      </c>
      <c r="D300" s="6" t="str">
        <f>"王雅"</f>
        <v>王雅</v>
      </c>
      <c r="E300" s="6" t="str">
        <f>"202409211218"</f>
        <v>202409211218</v>
      </c>
      <c r="F300" s="6" t="str">
        <f>"12"</f>
        <v>12</v>
      </c>
      <c r="G300" s="6" t="str">
        <f>"18"</f>
        <v>18</v>
      </c>
      <c r="H300" s="7">
        <v>55.82</v>
      </c>
      <c r="I300" s="8">
        <v>104</v>
      </c>
      <c r="J300" s="8"/>
    </row>
    <row r="301" spans="1:10">
      <c r="A301" s="6">
        <v>299</v>
      </c>
      <c r="B301" s="6" t="str">
        <f t="shared" si="4"/>
        <v>0102</v>
      </c>
      <c r="C301" s="6" t="s">
        <v>13</v>
      </c>
      <c r="D301" s="6" t="str">
        <f>"王秋萍"</f>
        <v>王秋萍</v>
      </c>
      <c r="E301" s="6" t="str">
        <f>"202409211020"</f>
        <v>202409211020</v>
      </c>
      <c r="F301" s="6" t="str">
        <f>"10"</f>
        <v>10</v>
      </c>
      <c r="G301" s="6" t="str">
        <f>"20"</f>
        <v>20</v>
      </c>
      <c r="H301" s="7">
        <v>55.63</v>
      </c>
      <c r="I301" s="8">
        <v>105</v>
      </c>
      <c r="J301" s="8"/>
    </row>
    <row r="302" spans="1:10">
      <c r="A302" s="6">
        <v>300</v>
      </c>
      <c r="B302" s="6" t="str">
        <f t="shared" si="4"/>
        <v>0102</v>
      </c>
      <c r="C302" s="6" t="s">
        <v>13</v>
      </c>
      <c r="D302" s="6" t="str">
        <f>"陈静秋"</f>
        <v>陈静秋</v>
      </c>
      <c r="E302" s="6" t="str">
        <f>"202409210930"</f>
        <v>202409210930</v>
      </c>
      <c r="F302" s="6" t="str">
        <f>"09"</f>
        <v>09</v>
      </c>
      <c r="G302" s="6" t="str">
        <f>"30"</f>
        <v>30</v>
      </c>
      <c r="H302" s="7">
        <v>55.45</v>
      </c>
      <c r="I302" s="8">
        <v>106</v>
      </c>
      <c r="J302" s="8"/>
    </row>
    <row r="303" spans="1:10">
      <c r="A303" s="6">
        <v>301</v>
      </c>
      <c r="B303" s="6" t="str">
        <f t="shared" si="4"/>
        <v>0102</v>
      </c>
      <c r="C303" s="6" t="s">
        <v>13</v>
      </c>
      <c r="D303" s="6" t="str">
        <f>"王贞英"</f>
        <v>王贞英</v>
      </c>
      <c r="E303" s="6" t="str">
        <f>"202409211217"</f>
        <v>202409211217</v>
      </c>
      <c r="F303" s="6" t="str">
        <f>"12"</f>
        <v>12</v>
      </c>
      <c r="G303" s="6" t="str">
        <f>"17"</f>
        <v>17</v>
      </c>
      <c r="H303" s="7">
        <v>55.18</v>
      </c>
      <c r="I303" s="8">
        <v>107</v>
      </c>
      <c r="J303" s="8"/>
    </row>
    <row r="304" spans="1:10">
      <c r="A304" s="6">
        <v>302</v>
      </c>
      <c r="B304" s="6" t="str">
        <f t="shared" si="4"/>
        <v>0102</v>
      </c>
      <c r="C304" s="6" t="s">
        <v>13</v>
      </c>
      <c r="D304" s="6" t="str">
        <f>"刘丹"</f>
        <v>刘丹</v>
      </c>
      <c r="E304" s="6" t="str">
        <f>"202409211126"</f>
        <v>202409211126</v>
      </c>
      <c r="F304" s="6" t="str">
        <f>"11"</f>
        <v>11</v>
      </c>
      <c r="G304" s="6" t="str">
        <f>"26"</f>
        <v>26</v>
      </c>
      <c r="H304" s="7">
        <v>55.17</v>
      </c>
      <c r="I304" s="8">
        <v>108</v>
      </c>
      <c r="J304" s="8"/>
    </row>
    <row r="305" spans="1:10">
      <c r="A305" s="6">
        <v>303</v>
      </c>
      <c r="B305" s="6" t="str">
        <f t="shared" si="4"/>
        <v>0102</v>
      </c>
      <c r="C305" s="6" t="s">
        <v>13</v>
      </c>
      <c r="D305" s="6" t="str">
        <f>"吴游"</f>
        <v>吴游</v>
      </c>
      <c r="E305" s="6" t="str">
        <f>"202409210911"</f>
        <v>202409210911</v>
      </c>
      <c r="F305" s="6" t="str">
        <f>"09"</f>
        <v>09</v>
      </c>
      <c r="G305" s="6" t="str">
        <f>"11"</f>
        <v>11</v>
      </c>
      <c r="H305" s="7">
        <v>54.87</v>
      </c>
      <c r="I305" s="8">
        <v>109</v>
      </c>
      <c r="J305" s="8"/>
    </row>
    <row r="306" spans="1:10">
      <c r="A306" s="6">
        <v>304</v>
      </c>
      <c r="B306" s="6" t="str">
        <f t="shared" si="4"/>
        <v>0102</v>
      </c>
      <c r="C306" s="6" t="s">
        <v>13</v>
      </c>
      <c r="D306" s="6" t="str">
        <f>"吴仪"</f>
        <v>吴仪</v>
      </c>
      <c r="E306" s="6" t="str">
        <f>"202409211207"</f>
        <v>202409211207</v>
      </c>
      <c r="F306" s="6" t="str">
        <f>"12"</f>
        <v>12</v>
      </c>
      <c r="G306" s="6" t="str">
        <f>"07"</f>
        <v>07</v>
      </c>
      <c r="H306" s="7">
        <v>54.44</v>
      </c>
      <c r="I306" s="8">
        <v>110</v>
      </c>
      <c r="J306" s="8"/>
    </row>
    <row r="307" spans="1:10">
      <c r="A307" s="6">
        <v>305</v>
      </c>
      <c r="B307" s="6" t="str">
        <f t="shared" si="4"/>
        <v>0102</v>
      </c>
      <c r="C307" s="6" t="s">
        <v>13</v>
      </c>
      <c r="D307" s="6" t="str">
        <f>"韦丽玛"</f>
        <v>韦丽玛</v>
      </c>
      <c r="E307" s="6" t="str">
        <f>"202409210928"</f>
        <v>202409210928</v>
      </c>
      <c r="F307" s="6" t="str">
        <f>"09"</f>
        <v>09</v>
      </c>
      <c r="G307" s="6" t="str">
        <f>"28"</f>
        <v>28</v>
      </c>
      <c r="H307" s="7">
        <v>54.3</v>
      </c>
      <c r="I307" s="8">
        <v>111</v>
      </c>
      <c r="J307" s="8"/>
    </row>
    <row r="308" spans="1:10">
      <c r="A308" s="6">
        <v>306</v>
      </c>
      <c r="B308" s="6" t="str">
        <f t="shared" si="4"/>
        <v>0102</v>
      </c>
      <c r="C308" s="6" t="s">
        <v>13</v>
      </c>
      <c r="D308" s="6" t="str">
        <f>"李霜"</f>
        <v>李霜</v>
      </c>
      <c r="E308" s="6" t="str">
        <f>"202409211221"</f>
        <v>202409211221</v>
      </c>
      <c r="F308" s="6" t="str">
        <f>"12"</f>
        <v>12</v>
      </c>
      <c r="G308" s="6" t="str">
        <f>"21"</f>
        <v>21</v>
      </c>
      <c r="H308" s="7">
        <v>54.17</v>
      </c>
      <c r="I308" s="8">
        <v>112</v>
      </c>
      <c r="J308" s="8"/>
    </row>
    <row r="309" spans="1:10">
      <c r="A309" s="6">
        <v>307</v>
      </c>
      <c r="B309" s="6" t="str">
        <f t="shared" si="4"/>
        <v>0102</v>
      </c>
      <c r="C309" s="6" t="s">
        <v>13</v>
      </c>
      <c r="D309" s="6" t="str">
        <f>"陈淑兰"</f>
        <v>陈淑兰</v>
      </c>
      <c r="E309" s="6" t="str">
        <f>"202409211102"</f>
        <v>202409211102</v>
      </c>
      <c r="F309" s="6" t="str">
        <f>"11"</f>
        <v>11</v>
      </c>
      <c r="G309" s="6" t="str">
        <f>"02"</f>
        <v>02</v>
      </c>
      <c r="H309" s="7">
        <v>54.04</v>
      </c>
      <c r="I309" s="8">
        <v>113</v>
      </c>
      <c r="J309" s="8"/>
    </row>
    <row r="310" spans="1:10">
      <c r="A310" s="6">
        <v>308</v>
      </c>
      <c r="B310" s="6" t="str">
        <f t="shared" si="4"/>
        <v>0102</v>
      </c>
      <c r="C310" s="6" t="s">
        <v>13</v>
      </c>
      <c r="D310" s="6" t="str">
        <f>"颜茜萍"</f>
        <v>颜茜萍</v>
      </c>
      <c r="E310" s="6" t="str">
        <f>"202409211129"</f>
        <v>202409211129</v>
      </c>
      <c r="F310" s="6" t="str">
        <f>"11"</f>
        <v>11</v>
      </c>
      <c r="G310" s="6" t="str">
        <f>"29"</f>
        <v>29</v>
      </c>
      <c r="H310" s="7">
        <v>53.94</v>
      </c>
      <c r="I310" s="8">
        <v>114</v>
      </c>
      <c r="J310" s="8"/>
    </row>
    <row r="311" spans="1:10">
      <c r="A311" s="6">
        <v>309</v>
      </c>
      <c r="B311" s="6" t="str">
        <f t="shared" si="4"/>
        <v>0102</v>
      </c>
      <c r="C311" s="6" t="s">
        <v>13</v>
      </c>
      <c r="D311" s="6" t="str">
        <f>"王小丽"</f>
        <v>王小丽</v>
      </c>
      <c r="E311" s="6" t="str">
        <f>"202409210907"</f>
        <v>202409210907</v>
      </c>
      <c r="F311" s="6" t="str">
        <f>"09"</f>
        <v>09</v>
      </c>
      <c r="G311" s="6" t="str">
        <f>"07"</f>
        <v>07</v>
      </c>
      <c r="H311" s="7">
        <v>53.89</v>
      </c>
      <c r="I311" s="8">
        <v>115</v>
      </c>
      <c r="J311" s="8"/>
    </row>
    <row r="312" spans="1:10">
      <c r="A312" s="6">
        <v>310</v>
      </c>
      <c r="B312" s="6" t="str">
        <f t="shared" si="4"/>
        <v>0102</v>
      </c>
      <c r="C312" s="6" t="s">
        <v>13</v>
      </c>
      <c r="D312" s="6" t="str">
        <f>"黄海萍"</f>
        <v>黄海萍</v>
      </c>
      <c r="E312" s="6" t="str">
        <f>"202409210718"</f>
        <v>202409210718</v>
      </c>
      <c r="F312" s="6" t="str">
        <f>"07"</f>
        <v>07</v>
      </c>
      <c r="G312" s="6" t="str">
        <f>"18"</f>
        <v>18</v>
      </c>
      <c r="H312" s="7">
        <v>53.57</v>
      </c>
      <c r="I312" s="8">
        <v>116</v>
      </c>
      <c r="J312" s="8"/>
    </row>
    <row r="313" spans="1:10">
      <c r="A313" s="6">
        <v>311</v>
      </c>
      <c r="B313" s="6" t="str">
        <f t="shared" si="4"/>
        <v>0102</v>
      </c>
      <c r="C313" s="6" t="s">
        <v>13</v>
      </c>
      <c r="D313" s="6" t="str">
        <f>"李若兰"</f>
        <v>李若兰</v>
      </c>
      <c r="E313" s="6" t="str">
        <f>"202409210912"</f>
        <v>202409210912</v>
      </c>
      <c r="F313" s="6" t="str">
        <f>"09"</f>
        <v>09</v>
      </c>
      <c r="G313" s="6" t="str">
        <f>"12"</f>
        <v>12</v>
      </c>
      <c r="H313" s="7">
        <v>53.34</v>
      </c>
      <c r="I313" s="8">
        <v>117</v>
      </c>
      <c r="J313" s="8"/>
    </row>
    <row r="314" spans="1:10">
      <c r="A314" s="6">
        <v>312</v>
      </c>
      <c r="B314" s="6" t="str">
        <f t="shared" si="4"/>
        <v>0102</v>
      </c>
      <c r="C314" s="6" t="s">
        <v>13</v>
      </c>
      <c r="D314" s="6" t="str">
        <f>"陈映丹"</f>
        <v>陈映丹</v>
      </c>
      <c r="E314" s="6" t="str">
        <f>"202409211112"</f>
        <v>202409211112</v>
      </c>
      <c r="F314" s="6" t="str">
        <f>"11"</f>
        <v>11</v>
      </c>
      <c r="G314" s="6" t="str">
        <f>"12"</f>
        <v>12</v>
      </c>
      <c r="H314" s="7">
        <v>53.29</v>
      </c>
      <c r="I314" s="8">
        <v>118</v>
      </c>
      <c r="J314" s="8"/>
    </row>
    <row r="315" spans="1:10">
      <c r="A315" s="6">
        <v>313</v>
      </c>
      <c r="B315" s="6" t="str">
        <f t="shared" si="4"/>
        <v>0102</v>
      </c>
      <c r="C315" s="6" t="s">
        <v>13</v>
      </c>
      <c r="D315" s="6" t="str">
        <f>"王春艳"</f>
        <v>王春艳</v>
      </c>
      <c r="E315" s="6" t="str">
        <f>"202409211026"</f>
        <v>202409211026</v>
      </c>
      <c r="F315" s="6" t="str">
        <f>"10"</f>
        <v>10</v>
      </c>
      <c r="G315" s="6" t="str">
        <f>"26"</f>
        <v>26</v>
      </c>
      <c r="H315" s="7">
        <v>53.15</v>
      </c>
      <c r="I315" s="8">
        <v>119</v>
      </c>
      <c r="J315" s="8"/>
    </row>
    <row r="316" spans="1:10">
      <c r="A316" s="6">
        <v>314</v>
      </c>
      <c r="B316" s="6" t="str">
        <f t="shared" si="4"/>
        <v>0102</v>
      </c>
      <c r="C316" s="6" t="s">
        <v>13</v>
      </c>
      <c r="D316" s="6" t="str">
        <f>"许德虹"</f>
        <v>许德虹</v>
      </c>
      <c r="E316" s="6" t="str">
        <f>"202409210819"</f>
        <v>202409210819</v>
      </c>
      <c r="F316" s="6" t="str">
        <f>"08"</f>
        <v>08</v>
      </c>
      <c r="G316" s="6" t="str">
        <f>"19"</f>
        <v>19</v>
      </c>
      <c r="H316" s="7">
        <v>53.1</v>
      </c>
      <c r="I316" s="8">
        <v>120</v>
      </c>
      <c r="J316" s="8"/>
    </row>
    <row r="317" spans="1:10">
      <c r="A317" s="6">
        <v>315</v>
      </c>
      <c r="B317" s="6" t="str">
        <f t="shared" si="4"/>
        <v>0102</v>
      </c>
      <c r="C317" s="6" t="s">
        <v>13</v>
      </c>
      <c r="D317" s="6" t="str">
        <f>"王雅"</f>
        <v>王雅</v>
      </c>
      <c r="E317" s="6" t="str">
        <f>"202409211130"</f>
        <v>202409211130</v>
      </c>
      <c r="F317" s="6" t="str">
        <f>"11"</f>
        <v>11</v>
      </c>
      <c r="G317" s="6" t="str">
        <f>"30"</f>
        <v>30</v>
      </c>
      <c r="H317" s="7">
        <v>53.04</v>
      </c>
      <c r="I317" s="8">
        <v>121</v>
      </c>
      <c r="J317" s="8"/>
    </row>
    <row r="318" spans="1:10">
      <c r="A318" s="6">
        <v>316</v>
      </c>
      <c r="B318" s="6" t="str">
        <f t="shared" si="4"/>
        <v>0102</v>
      </c>
      <c r="C318" s="6" t="s">
        <v>13</v>
      </c>
      <c r="D318" s="6" t="str">
        <f>"林周霞"</f>
        <v>林周霞</v>
      </c>
      <c r="E318" s="6" t="str">
        <f>"202409210801"</f>
        <v>202409210801</v>
      </c>
      <c r="F318" s="6" t="str">
        <f>"08"</f>
        <v>08</v>
      </c>
      <c r="G318" s="6" t="str">
        <f>"01"</f>
        <v>01</v>
      </c>
      <c r="H318" s="7">
        <v>52.82</v>
      </c>
      <c r="I318" s="8">
        <v>122</v>
      </c>
      <c r="J318" s="8"/>
    </row>
    <row r="319" spans="1:10">
      <c r="A319" s="6">
        <v>317</v>
      </c>
      <c r="B319" s="6" t="str">
        <f t="shared" si="4"/>
        <v>0102</v>
      </c>
      <c r="C319" s="6" t="s">
        <v>13</v>
      </c>
      <c r="D319" s="6" t="str">
        <f>"张韵"</f>
        <v>张韵</v>
      </c>
      <c r="E319" s="6" t="str">
        <f>"202409211220"</f>
        <v>202409211220</v>
      </c>
      <c r="F319" s="6" t="str">
        <f>"12"</f>
        <v>12</v>
      </c>
      <c r="G319" s="6" t="str">
        <f>"20"</f>
        <v>20</v>
      </c>
      <c r="H319" s="7">
        <v>52.73</v>
      </c>
      <c r="I319" s="8">
        <v>123</v>
      </c>
      <c r="J319" s="8"/>
    </row>
    <row r="320" spans="1:10">
      <c r="A320" s="6">
        <v>318</v>
      </c>
      <c r="B320" s="6" t="str">
        <f t="shared" si="4"/>
        <v>0102</v>
      </c>
      <c r="C320" s="6" t="s">
        <v>13</v>
      </c>
      <c r="D320" s="6" t="str">
        <f>"冯洁薇"</f>
        <v>冯洁薇</v>
      </c>
      <c r="E320" s="6" t="str">
        <f>"202409211203"</f>
        <v>202409211203</v>
      </c>
      <c r="F320" s="6" t="str">
        <f>"12"</f>
        <v>12</v>
      </c>
      <c r="G320" s="6" t="str">
        <f>"03"</f>
        <v>03</v>
      </c>
      <c r="H320" s="7">
        <v>52.61</v>
      </c>
      <c r="I320" s="8">
        <v>124</v>
      </c>
      <c r="J320" s="8"/>
    </row>
    <row r="321" spans="1:10">
      <c r="A321" s="6">
        <v>319</v>
      </c>
      <c r="B321" s="6" t="str">
        <f t="shared" si="4"/>
        <v>0102</v>
      </c>
      <c r="C321" s="6" t="s">
        <v>13</v>
      </c>
      <c r="D321" s="6" t="str">
        <f>"殷乙玲"</f>
        <v>殷乙玲</v>
      </c>
      <c r="E321" s="6" t="str">
        <f>"202409210815"</f>
        <v>202409210815</v>
      </c>
      <c r="F321" s="6" t="str">
        <f>"08"</f>
        <v>08</v>
      </c>
      <c r="G321" s="6" t="str">
        <f>"15"</f>
        <v>15</v>
      </c>
      <c r="H321" s="7">
        <v>52.51</v>
      </c>
      <c r="I321" s="8">
        <v>125</v>
      </c>
      <c r="J321" s="8"/>
    </row>
    <row r="322" spans="1:10">
      <c r="A322" s="6">
        <v>320</v>
      </c>
      <c r="B322" s="6" t="str">
        <f t="shared" si="4"/>
        <v>0102</v>
      </c>
      <c r="C322" s="6" t="s">
        <v>13</v>
      </c>
      <c r="D322" s="6" t="str">
        <f>"孙利念"</f>
        <v>孙利念</v>
      </c>
      <c r="E322" s="6" t="str">
        <f>"202409210926"</f>
        <v>202409210926</v>
      </c>
      <c r="F322" s="6" t="str">
        <f>"09"</f>
        <v>09</v>
      </c>
      <c r="G322" s="6" t="str">
        <f>"26"</f>
        <v>26</v>
      </c>
      <c r="H322" s="7">
        <v>52.41</v>
      </c>
      <c r="I322" s="8">
        <v>126</v>
      </c>
      <c r="J322" s="8"/>
    </row>
    <row r="323" spans="1:10">
      <c r="A323" s="6">
        <v>321</v>
      </c>
      <c r="B323" s="6" t="str">
        <f t="shared" si="4"/>
        <v>0102</v>
      </c>
      <c r="C323" s="6" t="s">
        <v>13</v>
      </c>
      <c r="D323" s="6" t="str">
        <f>"孙荣露"</f>
        <v>孙荣露</v>
      </c>
      <c r="E323" s="6" t="str">
        <f>"202409211007"</f>
        <v>202409211007</v>
      </c>
      <c r="F323" s="6" t="str">
        <f>"10"</f>
        <v>10</v>
      </c>
      <c r="G323" s="6" t="str">
        <f>"07"</f>
        <v>07</v>
      </c>
      <c r="H323" s="7">
        <v>52.41</v>
      </c>
      <c r="I323" s="8">
        <v>127</v>
      </c>
      <c r="J323" s="8"/>
    </row>
    <row r="324" spans="1:10">
      <c r="A324" s="6">
        <v>322</v>
      </c>
      <c r="B324" s="6" t="str">
        <f t="shared" si="4"/>
        <v>0102</v>
      </c>
      <c r="C324" s="6" t="s">
        <v>13</v>
      </c>
      <c r="D324" s="6" t="str">
        <f>"朱应兰"</f>
        <v>朱应兰</v>
      </c>
      <c r="E324" s="6" t="str">
        <f>"202409210728"</f>
        <v>202409210728</v>
      </c>
      <c r="F324" s="6" t="str">
        <f>"07"</f>
        <v>07</v>
      </c>
      <c r="G324" s="6" t="str">
        <f>"28"</f>
        <v>28</v>
      </c>
      <c r="H324" s="7">
        <v>52.36</v>
      </c>
      <c r="I324" s="8">
        <v>128</v>
      </c>
      <c r="J324" s="8"/>
    </row>
    <row r="325" spans="1:10">
      <c r="A325" s="6">
        <v>323</v>
      </c>
      <c r="B325" s="6" t="str">
        <f t="shared" ref="B325:B388" si="5">"0102"</f>
        <v>0102</v>
      </c>
      <c r="C325" s="6" t="s">
        <v>13</v>
      </c>
      <c r="D325" s="6" t="str">
        <f>"张江娜"</f>
        <v>张江娜</v>
      </c>
      <c r="E325" s="6" t="str">
        <f>"202409211315"</f>
        <v>202409211315</v>
      </c>
      <c r="F325" s="6" t="str">
        <f>"13"</f>
        <v>13</v>
      </c>
      <c r="G325" s="6" t="str">
        <f>"15"</f>
        <v>15</v>
      </c>
      <c r="H325" s="7">
        <v>52.06</v>
      </c>
      <c r="I325" s="8">
        <v>129</v>
      </c>
      <c r="J325" s="8"/>
    </row>
    <row r="326" spans="1:10">
      <c r="A326" s="6">
        <v>324</v>
      </c>
      <c r="B326" s="6" t="str">
        <f t="shared" si="5"/>
        <v>0102</v>
      </c>
      <c r="C326" s="6" t="s">
        <v>13</v>
      </c>
      <c r="D326" s="6" t="str">
        <f>"冯椿苏"</f>
        <v>冯椿苏</v>
      </c>
      <c r="E326" s="6" t="str">
        <f>"202409210923"</f>
        <v>202409210923</v>
      </c>
      <c r="F326" s="6" t="str">
        <f>"09"</f>
        <v>09</v>
      </c>
      <c r="G326" s="6" t="str">
        <f>"23"</f>
        <v>23</v>
      </c>
      <c r="H326" s="7">
        <v>52.05</v>
      </c>
      <c r="I326" s="8">
        <v>130</v>
      </c>
      <c r="J326" s="8"/>
    </row>
    <row r="327" spans="1:10">
      <c r="A327" s="6">
        <v>325</v>
      </c>
      <c r="B327" s="6" t="str">
        <f t="shared" si="5"/>
        <v>0102</v>
      </c>
      <c r="C327" s="6" t="s">
        <v>13</v>
      </c>
      <c r="D327" s="6" t="str">
        <f>"邢妙满"</f>
        <v>邢妙满</v>
      </c>
      <c r="E327" s="6" t="str">
        <f>"202409211224"</f>
        <v>202409211224</v>
      </c>
      <c r="F327" s="6" t="str">
        <f>"12"</f>
        <v>12</v>
      </c>
      <c r="G327" s="6" t="str">
        <f>"24"</f>
        <v>24</v>
      </c>
      <c r="H327" s="7">
        <v>51.99</v>
      </c>
      <c r="I327" s="8">
        <v>131</v>
      </c>
      <c r="J327" s="8"/>
    </row>
    <row r="328" spans="1:10">
      <c r="A328" s="6">
        <v>326</v>
      </c>
      <c r="B328" s="6" t="str">
        <f t="shared" si="5"/>
        <v>0102</v>
      </c>
      <c r="C328" s="6" t="s">
        <v>13</v>
      </c>
      <c r="D328" s="6" t="str">
        <f>"蔡媛媛"</f>
        <v>蔡媛媛</v>
      </c>
      <c r="E328" s="6" t="str">
        <f>"202409210812"</f>
        <v>202409210812</v>
      </c>
      <c r="F328" s="6" t="str">
        <f>"08"</f>
        <v>08</v>
      </c>
      <c r="G328" s="6" t="str">
        <f>"12"</f>
        <v>12</v>
      </c>
      <c r="H328" s="7">
        <v>51.37</v>
      </c>
      <c r="I328" s="8">
        <v>132</v>
      </c>
      <c r="J328" s="8"/>
    </row>
    <row r="329" spans="1:10">
      <c r="A329" s="6">
        <v>327</v>
      </c>
      <c r="B329" s="6" t="str">
        <f t="shared" si="5"/>
        <v>0102</v>
      </c>
      <c r="C329" s="6" t="s">
        <v>13</v>
      </c>
      <c r="D329" s="6" t="str">
        <f>"蔡洁莹"</f>
        <v>蔡洁莹</v>
      </c>
      <c r="E329" s="6" t="str">
        <f>"202409211125"</f>
        <v>202409211125</v>
      </c>
      <c r="F329" s="6" t="str">
        <f>"11"</f>
        <v>11</v>
      </c>
      <c r="G329" s="6" t="str">
        <f>"25"</f>
        <v>25</v>
      </c>
      <c r="H329" s="7">
        <v>51.14</v>
      </c>
      <c r="I329" s="8">
        <v>133</v>
      </c>
      <c r="J329" s="8"/>
    </row>
    <row r="330" spans="1:10">
      <c r="A330" s="6">
        <v>328</v>
      </c>
      <c r="B330" s="6" t="str">
        <f t="shared" si="5"/>
        <v>0102</v>
      </c>
      <c r="C330" s="6" t="s">
        <v>13</v>
      </c>
      <c r="D330" s="6" t="str">
        <f>"吴永霞"</f>
        <v>吴永霞</v>
      </c>
      <c r="E330" s="6" t="str">
        <f>"202409211204"</f>
        <v>202409211204</v>
      </c>
      <c r="F330" s="6" t="str">
        <f>"12"</f>
        <v>12</v>
      </c>
      <c r="G330" s="6" t="str">
        <f>"04"</f>
        <v>04</v>
      </c>
      <c r="H330" s="7">
        <v>50.93</v>
      </c>
      <c r="I330" s="8">
        <v>134</v>
      </c>
      <c r="J330" s="8"/>
    </row>
    <row r="331" spans="1:10">
      <c r="A331" s="6">
        <v>329</v>
      </c>
      <c r="B331" s="6" t="str">
        <f t="shared" si="5"/>
        <v>0102</v>
      </c>
      <c r="C331" s="6" t="s">
        <v>13</v>
      </c>
      <c r="D331" s="6" t="str">
        <f>"麦海丽"</f>
        <v>麦海丽</v>
      </c>
      <c r="E331" s="6" t="str">
        <f>"202409211304"</f>
        <v>202409211304</v>
      </c>
      <c r="F331" s="6" t="str">
        <f>"13"</f>
        <v>13</v>
      </c>
      <c r="G331" s="6" t="str">
        <f>"04"</f>
        <v>04</v>
      </c>
      <c r="H331" s="7">
        <v>50.82</v>
      </c>
      <c r="I331" s="8">
        <v>135</v>
      </c>
      <c r="J331" s="8"/>
    </row>
    <row r="332" spans="1:10">
      <c r="A332" s="6">
        <v>330</v>
      </c>
      <c r="B332" s="6" t="str">
        <f t="shared" si="5"/>
        <v>0102</v>
      </c>
      <c r="C332" s="6" t="s">
        <v>13</v>
      </c>
      <c r="D332" s="6" t="str">
        <f>"王小青"</f>
        <v>王小青</v>
      </c>
      <c r="E332" s="6" t="str">
        <f>"202409210922"</f>
        <v>202409210922</v>
      </c>
      <c r="F332" s="6" t="str">
        <f>"09"</f>
        <v>09</v>
      </c>
      <c r="G332" s="6" t="str">
        <f>"22"</f>
        <v>22</v>
      </c>
      <c r="H332" s="7">
        <v>50.74</v>
      </c>
      <c r="I332" s="8">
        <v>136</v>
      </c>
      <c r="J332" s="8"/>
    </row>
    <row r="333" spans="1:10">
      <c r="A333" s="6">
        <v>331</v>
      </c>
      <c r="B333" s="6" t="str">
        <f t="shared" si="5"/>
        <v>0102</v>
      </c>
      <c r="C333" s="6" t="s">
        <v>13</v>
      </c>
      <c r="D333" s="6" t="str">
        <f>"吴毓惠"</f>
        <v>吴毓惠</v>
      </c>
      <c r="E333" s="6" t="str">
        <f>"202409211202"</f>
        <v>202409211202</v>
      </c>
      <c r="F333" s="6" t="str">
        <f>"12"</f>
        <v>12</v>
      </c>
      <c r="G333" s="6" t="str">
        <f>"02"</f>
        <v>02</v>
      </c>
      <c r="H333" s="7">
        <v>50.64</v>
      </c>
      <c r="I333" s="8">
        <v>137</v>
      </c>
      <c r="J333" s="8"/>
    </row>
    <row r="334" spans="1:10">
      <c r="A334" s="6">
        <v>332</v>
      </c>
      <c r="B334" s="6" t="str">
        <f t="shared" si="5"/>
        <v>0102</v>
      </c>
      <c r="C334" s="6" t="s">
        <v>13</v>
      </c>
      <c r="D334" s="6" t="str">
        <f>"朱雪莹"</f>
        <v>朱雪莹</v>
      </c>
      <c r="E334" s="6" t="str">
        <f>"202409211328"</f>
        <v>202409211328</v>
      </c>
      <c r="F334" s="6" t="str">
        <f>"13"</f>
        <v>13</v>
      </c>
      <c r="G334" s="6" t="str">
        <f>"28"</f>
        <v>28</v>
      </c>
      <c r="H334" s="7">
        <v>50.27</v>
      </c>
      <c r="I334" s="8">
        <v>138</v>
      </c>
      <c r="J334" s="8"/>
    </row>
    <row r="335" spans="1:10">
      <c r="A335" s="6">
        <v>333</v>
      </c>
      <c r="B335" s="6" t="str">
        <f t="shared" si="5"/>
        <v>0102</v>
      </c>
      <c r="C335" s="6" t="s">
        <v>13</v>
      </c>
      <c r="D335" s="6" t="str">
        <f>"郑婷婷"</f>
        <v>郑婷婷</v>
      </c>
      <c r="E335" s="6" t="str">
        <f>"202409211117"</f>
        <v>202409211117</v>
      </c>
      <c r="F335" s="6" t="str">
        <f>"11"</f>
        <v>11</v>
      </c>
      <c r="G335" s="6" t="str">
        <f>"17"</f>
        <v>17</v>
      </c>
      <c r="H335" s="7">
        <v>50.22</v>
      </c>
      <c r="I335" s="8">
        <v>139</v>
      </c>
      <c r="J335" s="8"/>
    </row>
    <row r="336" spans="1:10">
      <c r="A336" s="6">
        <v>334</v>
      </c>
      <c r="B336" s="6" t="str">
        <f t="shared" si="5"/>
        <v>0102</v>
      </c>
      <c r="C336" s="6" t="s">
        <v>13</v>
      </c>
      <c r="D336" s="6" t="str">
        <f>"张秋爱"</f>
        <v>张秋爱</v>
      </c>
      <c r="E336" s="6" t="str">
        <f>"202409211120"</f>
        <v>202409211120</v>
      </c>
      <c r="F336" s="6" t="str">
        <f>"11"</f>
        <v>11</v>
      </c>
      <c r="G336" s="6" t="str">
        <f>"20"</f>
        <v>20</v>
      </c>
      <c r="H336" s="7">
        <v>50.16</v>
      </c>
      <c r="I336" s="8">
        <v>140</v>
      </c>
      <c r="J336" s="8"/>
    </row>
    <row r="337" spans="1:10">
      <c r="A337" s="6">
        <v>335</v>
      </c>
      <c r="B337" s="6" t="str">
        <f t="shared" si="5"/>
        <v>0102</v>
      </c>
      <c r="C337" s="6" t="s">
        <v>13</v>
      </c>
      <c r="D337" s="6" t="str">
        <f>"许万丽"</f>
        <v>许万丽</v>
      </c>
      <c r="E337" s="6" t="str">
        <f>"202409211214"</f>
        <v>202409211214</v>
      </c>
      <c r="F337" s="6" t="str">
        <f>"12"</f>
        <v>12</v>
      </c>
      <c r="G337" s="6" t="str">
        <f>"14"</f>
        <v>14</v>
      </c>
      <c r="H337" s="7">
        <v>49.7</v>
      </c>
      <c r="I337" s="8">
        <v>141</v>
      </c>
      <c r="J337" s="8"/>
    </row>
    <row r="338" spans="1:10">
      <c r="A338" s="6">
        <v>336</v>
      </c>
      <c r="B338" s="6" t="str">
        <f t="shared" si="5"/>
        <v>0102</v>
      </c>
      <c r="C338" s="6" t="s">
        <v>13</v>
      </c>
      <c r="D338" s="6" t="str">
        <f>"黄蕊"</f>
        <v>黄蕊</v>
      </c>
      <c r="E338" s="6" t="str">
        <f>"202409210919"</f>
        <v>202409210919</v>
      </c>
      <c r="F338" s="6" t="str">
        <f>"09"</f>
        <v>09</v>
      </c>
      <c r="G338" s="6" t="str">
        <f>"19"</f>
        <v>19</v>
      </c>
      <c r="H338" s="7">
        <v>49.68</v>
      </c>
      <c r="I338" s="8">
        <v>142</v>
      </c>
      <c r="J338" s="8"/>
    </row>
    <row r="339" spans="1:10">
      <c r="A339" s="6">
        <v>337</v>
      </c>
      <c r="B339" s="6" t="str">
        <f t="shared" si="5"/>
        <v>0102</v>
      </c>
      <c r="C339" s="6" t="s">
        <v>13</v>
      </c>
      <c r="D339" s="6" t="str">
        <f>"洪才淦"</f>
        <v>洪才淦</v>
      </c>
      <c r="E339" s="6" t="str">
        <f>"202409211320"</f>
        <v>202409211320</v>
      </c>
      <c r="F339" s="6" t="str">
        <f>"13"</f>
        <v>13</v>
      </c>
      <c r="G339" s="6" t="str">
        <f>"20"</f>
        <v>20</v>
      </c>
      <c r="H339" s="7">
        <v>49.49</v>
      </c>
      <c r="I339" s="8">
        <v>143</v>
      </c>
      <c r="J339" s="8"/>
    </row>
    <row r="340" spans="1:10">
      <c r="A340" s="6">
        <v>338</v>
      </c>
      <c r="B340" s="6" t="str">
        <f t="shared" si="5"/>
        <v>0102</v>
      </c>
      <c r="C340" s="6" t="s">
        <v>13</v>
      </c>
      <c r="D340" s="6" t="str">
        <f>"谢萍"</f>
        <v>谢萍</v>
      </c>
      <c r="E340" s="6" t="str">
        <f>"202409211027"</f>
        <v>202409211027</v>
      </c>
      <c r="F340" s="6" t="str">
        <f>"10"</f>
        <v>10</v>
      </c>
      <c r="G340" s="6" t="str">
        <f>"27"</f>
        <v>27</v>
      </c>
      <c r="H340" s="7">
        <v>49.37</v>
      </c>
      <c r="I340" s="8">
        <v>144</v>
      </c>
      <c r="J340" s="8"/>
    </row>
    <row r="341" spans="1:10">
      <c r="A341" s="6">
        <v>339</v>
      </c>
      <c r="B341" s="6" t="str">
        <f t="shared" si="5"/>
        <v>0102</v>
      </c>
      <c r="C341" s="6" t="s">
        <v>13</v>
      </c>
      <c r="D341" s="6" t="str">
        <f>"蔡夹盈"</f>
        <v>蔡夹盈</v>
      </c>
      <c r="E341" s="6" t="str">
        <f>"202409211211"</f>
        <v>202409211211</v>
      </c>
      <c r="F341" s="6" t="str">
        <f>"12"</f>
        <v>12</v>
      </c>
      <c r="G341" s="6" t="str">
        <f>"11"</f>
        <v>11</v>
      </c>
      <c r="H341" s="7">
        <v>49.25</v>
      </c>
      <c r="I341" s="8">
        <v>145</v>
      </c>
      <c r="J341" s="8"/>
    </row>
    <row r="342" spans="1:10">
      <c r="A342" s="6">
        <v>340</v>
      </c>
      <c r="B342" s="6" t="str">
        <f t="shared" si="5"/>
        <v>0102</v>
      </c>
      <c r="C342" s="6" t="s">
        <v>13</v>
      </c>
      <c r="D342" s="6" t="str">
        <f>"李明丽"</f>
        <v>李明丽</v>
      </c>
      <c r="E342" s="6" t="str">
        <f>"202409210927"</f>
        <v>202409210927</v>
      </c>
      <c r="F342" s="6" t="str">
        <f>"09"</f>
        <v>09</v>
      </c>
      <c r="G342" s="6" t="str">
        <f>"27"</f>
        <v>27</v>
      </c>
      <c r="H342" s="7">
        <v>49.15</v>
      </c>
      <c r="I342" s="8">
        <v>146</v>
      </c>
      <c r="J342" s="8"/>
    </row>
    <row r="343" spans="1:10">
      <c r="A343" s="6">
        <v>341</v>
      </c>
      <c r="B343" s="6" t="str">
        <f t="shared" si="5"/>
        <v>0102</v>
      </c>
      <c r="C343" s="6" t="s">
        <v>13</v>
      </c>
      <c r="D343" s="6" t="str">
        <f>"吴华恋"</f>
        <v>吴华恋</v>
      </c>
      <c r="E343" s="6" t="str">
        <f>"202409211201"</f>
        <v>202409211201</v>
      </c>
      <c r="F343" s="6" t="str">
        <f>"12"</f>
        <v>12</v>
      </c>
      <c r="G343" s="6" t="str">
        <f>"01"</f>
        <v>01</v>
      </c>
      <c r="H343" s="7">
        <v>48.56</v>
      </c>
      <c r="I343" s="8">
        <v>147</v>
      </c>
      <c r="J343" s="8"/>
    </row>
    <row r="344" spans="1:10">
      <c r="A344" s="6">
        <v>342</v>
      </c>
      <c r="B344" s="6" t="str">
        <f t="shared" si="5"/>
        <v>0102</v>
      </c>
      <c r="C344" s="6" t="s">
        <v>13</v>
      </c>
      <c r="D344" s="6" t="str">
        <f>"夏林玲"</f>
        <v>夏林玲</v>
      </c>
      <c r="E344" s="6" t="str">
        <f>"202409210813"</f>
        <v>202409210813</v>
      </c>
      <c r="F344" s="6" t="str">
        <f>"08"</f>
        <v>08</v>
      </c>
      <c r="G344" s="6" t="str">
        <f>"13"</f>
        <v>13</v>
      </c>
      <c r="H344" s="7">
        <v>48.31</v>
      </c>
      <c r="I344" s="8">
        <v>148</v>
      </c>
      <c r="J344" s="8"/>
    </row>
    <row r="345" spans="1:10">
      <c r="A345" s="6">
        <v>343</v>
      </c>
      <c r="B345" s="6" t="str">
        <f t="shared" si="5"/>
        <v>0102</v>
      </c>
      <c r="C345" s="6" t="s">
        <v>13</v>
      </c>
      <c r="D345" s="6" t="str">
        <f>"周威妙"</f>
        <v>周威妙</v>
      </c>
      <c r="E345" s="6" t="str">
        <f>"202409211311"</f>
        <v>202409211311</v>
      </c>
      <c r="F345" s="6" t="str">
        <f>"13"</f>
        <v>13</v>
      </c>
      <c r="G345" s="6" t="str">
        <f>"11"</f>
        <v>11</v>
      </c>
      <c r="H345" s="7">
        <v>48.19</v>
      </c>
      <c r="I345" s="8">
        <v>149</v>
      </c>
      <c r="J345" s="8"/>
    </row>
    <row r="346" spans="1:10">
      <c r="A346" s="6">
        <v>344</v>
      </c>
      <c r="B346" s="6" t="str">
        <f t="shared" si="5"/>
        <v>0102</v>
      </c>
      <c r="C346" s="6" t="s">
        <v>13</v>
      </c>
      <c r="D346" s="6" t="str">
        <f>"王俞欣"</f>
        <v>王俞欣</v>
      </c>
      <c r="E346" s="6" t="str">
        <f>"202409211019"</f>
        <v>202409211019</v>
      </c>
      <c r="F346" s="6" t="str">
        <f>"10"</f>
        <v>10</v>
      </c>
      <c r="G346" s="6" t="str">
        <f>"19"</f>
        <v>19</v>
      </c>
      <c r="H346" s="7">
        <v>48.11</v>
      </c>
      <c r="I346" s="8">
        <v>150</v>
      </c>
      <c r="J346" s="8"/>
    </row>
    <row r="347" spans="1:10">
      <c r="A347" s="6">
        <v>345</v>
      </c>
      <c r="B347" s="6" t="str">
        <f t="shared" si="5"/>
        <v>0102</v>
      </c>
      <c r="C347" s="6" t="s">
        <v>13</v>
      </c>
      <c r="D347" s="6" t="str">
        <f>"符芳妮"</f>
        <v>符芳妮</v>
      </c>
      <c r="E347" s="6" t="str">
        <f>"202409210913"</f>
        <v>202409210913</v>
      </c>
      <c r="F347" s="6" t="str">
        <f>"09"</f>
        <v>09</v>
      </c>
      <c r="G347" s="6" t="str">
        <f>"13"</f>
        <v>13</v>
      </c>
      <c r="H347" s="7">
        <v>47.8</v>
      </c>
      <c r="I347" s="8">
        <v>151</v>
      </c>
      <c r="J347" s="8"/>
    </row>
    <row r="348" spans="1:10">
      <c r="A348" s="6">
        <v>346</v>
      </c>
      <c r="B348" s="6" t="str">
        <f t="shared" si="5"/>
        <v>0102</v>
      </c>
      <c r="C348" s="6" t="s">
        <v>13</v>
      </c>
      <c r="D348" s="6" t="str">
        <f>"张伟波"</f>
        <v>张伟波</v>
      </c>
      <c r="E348" s="6" t="str">
        <f>"202409211124"</f>
        <v>202409211124</v>
      </c>
      <c r="F348" s="6" t="str">
        <f>"11"</f>
        <v>11</v>
      </c>
      <c r="G348" s="6" t="str">
        <f>"24"</f>
        <v>24</v>
      </c>
      <c r="H348" s="7">
        <v>47.65</v>
      </c>
      <c r="I348" s="8">
        <v>152</v>
      </c>
      <c r="J348" s="8"/>
    </row>
    <row r="349" spans="1:10">
      <c r="A349" s="6">
        <v>347</v>
      </c>
      <c r="B349" s="6" t="str">
        <f t="shared" si="5"/>
        <v>0102</v>
      </c>
      <c r="C349" s="6" t="s">
        <v>13</v>
      </c>
      <c r="D349" s="6" t="str">
        <f>"符玉南"</f>
        <v>符玉南</v>
      </c>
      <c r="E349" s="6" t="str">
        <f>"202409211403"</f>
        <v>202409211403</v>
      </c>
      <c r="F349" s="6" t="str">
        <f>"14"</f>
        <v>14</v>
      </c>
      <c r="G349" s="6" t="str">
        <f>"03"</f>
        <v>03</v>
      </c>
      <c r="H349" s="7">
        <v>47.59</v>
      </c>
      <c r="I349" s="8">
        <v>153</v>
      </c>
      <c r="J349" s="8"/>
    </row>
    <row r="350" spans="1:10">
      <c r="A350" s="6">
        <v>348</v>
      </c>
      <c r="B350" s="6" t="str">
        <f t="shared" si="5"/>
        <v>0102</v>
      </c>
      <c r="C350" s="6" t="s">
        <v>13</v>
      </c>
      <c r="D350" s="6" t="str">
        <f>"黄文晓"</f>
        <v>黄文晓</v>
      </c>
      <c r="E350" s="6" t="str">
        <f>"202409211018"</f>
        <v>202409211018</v>
      </c>
      <c r="F350" s="6" t="str">
        <f>"10"</f>
        <v>10</v>
      </c>
      <c r="G350" s="6" t="str">
        <f>"18"</f>
        <v>18</v>
      </c>
      <c r="H350" s="7">
        <v>47.58</v>
      </c>
      <c r="I350" s="8">
        <v>154</v>
      </c>
      <c r="J350" s="8"/>
    </row>
    <row r="351" spans="1:10">
      <c r="A351" s="6">
        <v>349</v>
      </c>
      <c r="B351" s="6" t="str">
        <f t="shared" si="5"/>
        <v>0102</v>
      </c>
      <c r="C351" s="6" t="s">
        <v>13</v>
      </c>
      <c r="D351" s="6" t="str">
        <f>"张舒靖"</f>
        <v>张舒靖</v>
      </c>
      <c r="E351" s="6" t="str">
        <f>"202409211206"</f>
        <v>202409211206</v>
      </c>
      <c r="F351" s="6" t="str">
        <f>"12"</f>
        <v>12</v>
      </c>
      <c r="G351" s="6" t="str">
        <f>"06"</f>
        <v>06</v>
      </c>
      <c r="H351" s="7">
        <v>47.47</v>
      </c>
      <c r="I351" s="8">
        <v>155</v>
      </c>
      <c r="J351" s="8"/>
    </row>
    <row r="352" spans="1:10">
      <c r="A352" s="6">
        <v>350</v>
      </c>
      <c r="B352" s="6" t="str">
        <f t="shared" si="5"/>
        <v>0102</v>
      </c>
      <c r="C352" s="6" t="s">
        <v>13</v>
      </c>
      <c r="D352" s="6" t="str">
        <f>"陈文娟"</f>
        <v>陈文娟</v>
      </c>
      <c r="E352" s="6" t="str">
        <f>"202409211030"</f>
        <v>202409211030</v>
      </c>
      <c r="F352" s="6" t="str">
        <f>"10"</f>
        <v>10</v>
      </c>
      <c r="G352" s="6" t="str">
        <f>"30"</f>
        <v>30</v>
      </c>
      <c r="H352" s="7">
        <v>47.04</v>
      </c>
      <c r="I352" s="8">
        <v>156</v>
      </c>
      <c r="J352" s="8"/>
    </row>
    <row r="353" spans="1:10">
      <c r="A353" s="6">
        <v>351</v>
      </c>
      <c r="B353" s="6" t="str">
        <f t="shared" si="5"/>
        <v>0102</v>
      </c>
      <c r="C353" s="6" t="s">
        <v>13</v>
      </c>
      <c r="D353" s="6" t="str">
        <f>"王明禧"</f>
        <v>王明禧</v>
      </c>
      <c r="E353" s="6" t="str">
        <f>"202409210908"</f>
        <v>202409210908</v>
      </c>
      <c r="F353" s="6" t="str">
        <f>"09"</f>
        <v>09</v>
      </c>
      <c r="G353" s="6" t="str">
        <f>"08"</f>
        <v>08</v>
      </c>
      <c r="H353" s="7">
        <v>47.01</v>
      </c>
      <c r="I353" s="8">
        <v>157</v>
      </c>
      <c r="J353" s="8"/>
    </row>
    <row r="354" spans="1:10">
      <c r="A354" s="6">
        <v>352</v>
      </c>
      <c r="B354" s="6" t="str">
        <f t="shared" si="5"/>
        <v>0102</v>
      </c>
      <c r="C354" s="6" t="s">
        <v>13</v>
      </c>
      <c r="D354" s="6" t="str">
        <f>"邱慧虹"</f>
        <v>邱慧虹</v>
      </c>
      <c r="E354" s="6" t="str">
        <f>"202409211401"</f>
        <v>202409211401</v>
      </c>
      <c r="F354" s="6" t="str">
        <f>"14"</f>
        <v>14</v>
      </c>
      <c r="G354" s="6" t="str">
        <f>"01"</f>
        <v>01</v>
      </c>
      <c r="H354" s="7">
        <v>46.69</v>
      </c>
      <c r="I354" s="8">
        <v>158</v>
      </c>
      <c r="J354" s="8"/>
    </row>
    <row r="355" spans="1:10">
      <c r="A355" s="6">
        <v>353</v>
      </c>
      <c r="B355" s="6" t="str">
        <f t="shared" si="5"/>
        <v>0102</v>
      </c>
      <c r="C355" s="6" t="s">
        <v>13</v>
      </c>
      <c r="D355" s="6" t="str">
        <f>"林梦依"</f>
        <v>林梦依</v>
      </c>
      <c r="E355" s="6" t="str">
        <f>"202409210727"</f>
        <v>202409210727</v>
      </c>
      <c r="F355" s="6" t="str">
        <f>"07"</f>
        <v>07</v>
      </c>
      <c r="G355" s="6" t="str">
        <f>"27"</f>
        <v>27</v>
      </c>
      <c r="H355" s="7">
        <v>46.46</v>
      </c>
      <c r="I355" s="8">
        <v>159</v>
      </c>
      <c r="J355" s="8"/>
    </row>
    <row r="356" spans="1:10">
      <c r="A356" s="6">
        <v>354</v>
      </c>
      <c r="B356" s="6" t="str">
        <f t="shared" si="5"/>
        <v>0102</v>
      </c>
      <c r="C356" s="6" t="s">
        <v>13</v>
      </c>
      <c r="D356" s="6" t="str">
        <f>"吴清妹"</f>
        <v>吴清妹</v>
      </c>
      <c r="E356" s="6" t="str">
        <f>"202409211326"</f>
        <v>202409211326</v>
      </c>
      <c r="F356" s="6" t="str">
        <f>"13"</f>
        <v>13</v>
      </c>
      <c r="G356" s="6" t="str">
        <f>"26"</f>
        <v>26</v>
      </c>
      <c r="H356" s="7">
        <v>46.34</v>
      </c>
      <c r="I356" s="8">
        <v>160</v>
      </c>
      <c r="J356" s="8"/>
    </row>
    <row r="357" spans="1:10">
      <c r="A357" s="6">
        <v>355</v>
      </c>
      <c r="B357" s="6" t="str">
        <f t="shared" si="5"/>
        <v>0102</v>
      </c>
      <c r="C357" s="6" t="s">
        <v>13</v>
      </c>
      <c r="D357" s="6" t="str">
        <f>"符怡"</f>
        <v>符怡</v>
      </c>
      <c r="E357" s="6" t="str">
        <f>"202409211209"</f>
        <v>202409211209</v>
      </c>
      <c r="F357" s="6" t="str">
        <f>"12"</f>
        <v>12</v>
      </c>
      <c r="G357" s="6" t="str">
        <f>"09"</f>
        <v>09</v>
      </c>
      <c r="H357" s="7">
        <v>44.34</v>
      </c>
      <c r="I357" s="8">
        <v>161</v>
      </c>
      <c r="J357" s="8"/>
    </row>
    <row r="358" spans="1:10">
      <c r="A358" s="6">
        <v>356</v>
      </c>
      <c r="B358" s="6" t="str">
        <f t="shared" si="5"/>
        <v>0102</v>
      </c>
      <c r="C358" s="6" t="s">
        <v>13</v>
      </c>
      <c r="D358" s="6" t="str">
        <f>"吴四妹"</f>
        <v>吴四妹</v>
      </c>
      <c r="E358" s="6" t="str">
        <f>"202409211111"</f>
        <v>202409211111</v>
      </c>
      <c r="F358" s="6" t="str">
        <f>"11"</f>
        <v>11</v>
      </c>
      <c r="G358" s="6" t="str">
        <f>"11"</f>
        <v>11</v>
      </c>
      <c r="H358" s="7">
        <v>44.21</v>
      </c>
      <c r="I358" s="8">
        <v>162</v>
      </c>
      <c r="J358" s="8"/>
    </row>
    <row r="359" spans="1:10">
      <c r="A359" s="6">
        <v>357</v>
      </c>
      <c r="B359" s="6" t="str">
        <f t="shared" si="5"/>
        <v>0102</v>
      </c>
      <c r="C359" s="6" t="s">
        <v>13</v>
      </c>
      <c r="D359" s="6" t="str">
        <f>"林达妹"</f>
        <v>林达妹</v>
      </c>
      <c r="E359" s="6" t="str">
        <f>"202409211226"</f>
        <v>202409211226</v>
      </c>
      <c r="F359" s="6" t="str">
        <f>"12"</f>
        <v>12</v>
      </c>
      <c r="G359" s="6" t="str">
        <f>"26"</f>
        <v>26</v>
      </c>
      <c r="H359" s="7">
        <v>43.72</v>
      </c>
      <c r="I359" s="8">
        <v>163</v>
      </c>
      <c r="J359" s="8"/>
    </row>
    <row r="360" spans="1:10">
      <c r="A360" s="6">
        <v>358</v>
      </c>
      <c r="B360" s="6" t="str">
        <f t="shared" si="5"/>
        <v>0102</v>
      </c>
      <c r="C360" s="6" t="s">
        <v>13</v>
      </c>
      <c r="D360" s="6" t="str">
        <f>"梁曼"</f>
        <v>梁曼</v>
      </c>
      <c r="E360" s="6" t="str">
        <f>"202409211319"</f>
        <v>202409211319</v>
      </c>
      <c r="F360" s="6" t="str">
        <f>"13"</f>
        <v>13</v>
      </c>
      <c r="G360" s="6" t="str">
        <f>"19"</f>
        <v>19</v>
      </c>
      <c r="H360" s="7">
        <v>43.47</v>
      </c>
      <c r="I360" s="8">
        <v>164</v>
      </c>
      <c r="J360" s="8"/>
    </row>
    <row r="361" spans="1:10">
      <c r="A361" s="6">
        <v>359</v>
      </c>
      <c r="B361" s="6" t="str">
        <f t="shared" si="5"/>
        <v>0102</v>
      </c>
      <c r="C361" s="6" t="s">
        <v>13</v>
      </c>
      <c r="D361" s="6" t="str">
        <f>"林丽亚"</f>
        <v>林丽亚</v>
      </c>
      <c r="E361" s="6" t="str">
        <f>"202409211406"</f>
        <v>202409211406</v>
      </c>
      <c r="F361" s="6" t="str">
        <f>"14"</f>
        <v>14</v>
      </c>
      <c r="G361" s="6" t="str">
        <f>"06"</f>
        <v>06</v>
      </c>
      <c r="H361" s="7">
        <v>43.04</v>
      </c>
      <c r="I361" s="8">
        <v>165</v>
      </c>
      <c r="J361" s="8"/>
    </row>
    <row r="362" spans="1:10">
      <c r="A362" s="6">
        <v>360</v>
      </c>
      <c r="B362" s="6" t="str">
        <f t="shared" si="5"/>
        <v>0102</v>
      </c>
      <c r="C362" s="6" t="s">
        <v>13</v>
      </c>
      <c r="D362" s="6" t="str">
        <f>"吴梅"</f>
        <v>吴梅</v>
      </c>
      <c r="E362" s="6" t="str">
        <f>"202409210924"</f>
        <v>202409210924</v>
      </c>
      <c r="F362" s="6" t="str">
        <f>"09"</f>
        <v>09</v>
      </c>
      <c r="G362" s="6" t="str">
        <f>"24"</f>
        <v>24</v>
      </c>
      <c r="H362" s="7">
        <v>41.97</v>
      </c>
      <c r="I362" s="8">
        <v>166</v>
      </c>
      <c r="J362" s="8"/>
    </row>
    <row r="363" spans="1:10">
      <c r="A363" s="6">
        <v>361</v>
      </c>
      <c r="B363" s="6" t="str">
        <f t="shared" si="5"/>
        <v>0102</v>
      </c>
      <c r="C363" s="6" t="s">
        <v>13</v>
      </c>
      <c r="D363" s="6" t="str">
        <f>"陈优芳"</f>
        <v>陈优芳</v>
      </c>
      <c r="E363" s="6" t="str">
        <f>"202409210828"</f>
        <v>202409210828</v>
      </c>
      <c r="F363" s="6" t="str">
        <f>"08"</f>
        <v>08</v>
      </c>
      <c r="G363" s="6" t="str">
        <f>"28"</f>
        <v>28</v>
      </c>
      <c r="H363" s="7">
        <v>40.16</v>
      </c>
      <c r="I363" s="8">
        <v>167</v>
      </c>
      <c r="J363" s="8"/>
    </row>
    <row r="364" spans="1:10">
      <c r="A364" s="6">
        <v>362</v>
      </c>
      <c r="B364" s="6" t="str">
        <f t="shared" si="5"/>
        <v>0102</v>
      </c>
      <c r="C364" s="6" t="s">
        <v>13</v>
      </c>
      <c r="D364" s="6" t="str">
        <f>"陈琴"</f>
        <v>陈琴</v>
      </c>
      <c r="E364" s="6" t="str">
        <f>"202409210823"</f>
        <v>202409210823</v>
      </c>
      <c r="F364" s="6" t="str">
        <f>"08"</f>
        <v>08</v>
      </c>
      <c r="G364" s="6" t="str">
        <f>"23"</f>
        <v>23</v>
      </c>
      <c r="H364" s="7">
        <v>36.7</v>
      </c>
      <c r="I364" s="8">
        <v>168</v>
      </c>
      <c r="J364" s="8"/>
    </row>
    <row r="365" spans="1:10">
      <c r="A365" s="6">
        <v>363</v>
      </c>
      <c r="B365" s="6" t="str">
        <f t="shared" si="5"/>
        <v>0102</v>
      </c>
      <c r="C365" s="6" t="s">
        <v>13</v>
      </c>
      <c r="D365" s="6" t="str">
        <f>"林少余"</f>
        <v>林少余</v>
      </c>
      <c r="E365" s="6" t="str">
        <f>"202409210804"</f>
        <v>202409210804</v>
      </c>
      <c r="F365" s="6" t="str">
        <f>"08"</f>
        <v>08</v>
      </c>
      <c r="G365" s="6" t="str">
        <f>"04"</f>
        <v>04</v>
      </c>
      <c r="H365" s="7"/>
      <c r="I365" s="8"/>
      <c r="J365" s="8" t="s">
        <v>12</v>
      </c>
    </row>
    <row r="366" spans="1:10">
      <c r="A366" s="6">
        <v>364</v>
      </c>
      <c r="B366" s="6" t="str">
        <f t="shared" si="5"/>
        <v>0102</v>
      </c>
      <c r="C366" s="6" t="s">
        <v>13</v>
      </c>
      <c r="D366" s="6" t="str">
        <f>"郑雪颖"</f>
        <v>郑雪颖</v>
      </c>
      <c r="E366" s="6" t="str">
        <f>"202409210811"</f>
        <v>202409210811</v>
      </c>
      <c r="F366" s="6" t="str">
        <f>"08"</f>
        <v>08</v>
      </c>
      <c r="G366" s="6" t="str">
        <f>"11"</f>
        <v>11</v>
      </c>
      <c r="H366" s="7"/>
      <c r="I366" s="8"/>
      <c r="J366" s="8" t="s">
        <v>12</v>
      </c>
    </row>
    <row r="367" spans="1:10">
      <c r="A367" s="6">
        <v>365</v>
      </c>
      <c r="B367" s="6" t="str">
        <f t="shared" si="5"/>
        <v>0102</v>
      </c>
      <c r="C367" s="6" t="s">
        <v>13</v>
      </c>
      <c r="D367" s="6" t="str">
        <f>"王玲"</f>
        <v>王玲</v>
      </c>
      <c r="E367" s="6" t="str">
        <f>"202409210814"</f>
        <v>202409210814</v>
      </c>
      <c r="F367" s="6" t="str">
        <f>"08"</f>
        <v>08</v>
      </c>
      <c r="G367" s="6" t="str">
        <f>"14"</f>
        <v>14</v>
      </c>
      <c r="H367" s="7"/>
      <c r="I367" s="8"/>
      <c r="J367" s="8" t="s">
        <v>12</v>
      </c>
    </row>
    <row r="368" spans="1:10">
      <c r="A368" s="6">
        <v>366</v>
      </c>
      <c r="B368" s="6" t="str">
        <f t="shared" si="5"/>
        <v>0102</v>
      </c>
      <c r="C368" s="6" t="s">
        <v>13</v>
      </c>
      <c r="D368" s="6" t="str">
        <f>"吴欣羽"</f>
        <v>吴欣羽</v>
      </c>
      <c r="E368" s="6" t="str">
        <f>"202409210906"</f>
        <v>202409210906</v>
      </c>
      <c r="F368" s="6" t="str">
        <f>"09"</f>
        <v>09</v>
      </c>
      <c r="G368" s="6" t="str">
        <f>"06"</f>
        <v>06</v>
      </c>
      <c r="H368" s="7"/>
      <c r="I368" s="8"/>
      <c r="J368" s="8" t="s">
        <v>12</v>
      </c>
    </row>
    <row r="369" spans="1:10">
      <c r="A369" s="6">
        <v>367</v>
      </c>
      <c r="B369" s="6" t="str">
        <f t="shared" si="5"/>
        <v>0102</v>
      </c>
      <c r="C369" s="6" t="s">
        <v>13</v>
      </c>
      <c r="D369" s="6" t="str">
        <f>"周雪平"</f>
        <v>周雪平</v>
      </c>
      <c r="E369" s="6" t="str">
        <f>"202409210914"</f>
        <v>202409210914</v>
      </c>
      <c r="F369" s="6" t="str">
        <f>"09"</f>
        <v>09</v>
      </c>
      <c r="G369" s="6" t="str">
        <f>"14"</f>
        <v>14</v>
      </c>
      <c r="H369" s="7"/>
      <c r="I369" s="8"/>
      <c r="J369" s="8" t="s">
        <v>12</v>
      </c>
    </row>
    <row r="370" spans="1:10">
      <c r="A370" s="6">
        <v>368</v>
      </c>
      <c r="B370" s="6" t="str">
        <f t="shared" si="5"/>
        <v>0102</v>
      </c>
      <c r="C370" s="6" t="s">
        <v>13</v>
      </c>
      <c r="D370" s="6" t="str">
        <f>"王春琼"</f>
        <v>王春琼</v>
      </c>
      <c r="E370" s="6" t="str">
        <f>"202409210917"</f>
        <v>202409210917</v>
      </c>
      <c r="F370" s="6" t="str">
        <f>"09"</f>
        <v>09</v>
      </c>
      <c r="G370" s="6" t="str">
        <f>"17"</f>
        <v>17</v>
      </c>
      <c r="H370" s="7"/>
      <c r="I370" s="8"/>
      <c r="J370" s="8" t="s">
        <v>12</v>
      </c>
    </row>
    <row r="371" spans="1:10">
      <c r="A371" s="6">
        <v>369</v>
      </c>
      <c r="B371" s="6" t="str">
        <f t="shared" si="5"/>
        <v>0102</v>
      </c>
      <c r="C371" s="6" t="s">
        <v>13</v>
      </c>
      <c r="D371" s="6" t="str">
        <f>"洪家凤"</f>
        <v>洪家凤</v>
      </c>
      <c r="E371" s="6" t="str">
        <f>"202409210925"</f>
        <v>202409210925</v>
      </c>
      <c r="F371" s="6" t="str">
        <f>"09"</f>
        <v>09</v>
      </c>
      <c r="G371" s="6" t="str">
        <f>"25"</f>
        <v>25</v>
      </c>
      <c r="H371" s="7"/>
      <c r="I371" s="8"/>
      <c r="J371" s="8" t="s">
        <v>12</v>
      </c>
    </row>
    <row r="372" spans="1:10">
      <c r="A372" s="6">
        <v>370</v>
      </c>
      <c r="B372" s="6" t="str">
        <f t="shared" si="5"/>
        <v>0102</v>
      </c>
      <c r="C372" s="6" t="s">
        <v>13</v>
      </c>
      <c r="D372" s="6" t="str">
        <f>"唐月婷"</f>
        <v>唐月婷</v>
      </c>
      <c r="E372" s="6" t="str">
        <f>"202409211001"</f>
        <v>202409211001</v>
      </c>
      <c r="F372" s="6" t="str">
        <f>"10"</f>
        <v>10</v>
      </c>
      <c r="G372" s="6" t="str">
        <f>"01"</f>
        <v>01</v>
      </c>
      <c r="H372" s="7"/>
      <c r="I372" s="8"/>
      <c r="J372" s="8" t="s">
        <v>12</v>
      </c>
    </row>
    <row r="373" spans="1:10">
      <c r="A373" s="6">
        <v>371</v>
      </c>
      <c r="B373" s="6" t="str">
        <f t="shared" si="5"/>
        <v>0102</v>
      </c>
      <c r="C373" s="6" t="s">
        <v>13</v>
      </c>
      <c r="D373" s="6" t="str">
        <f>"李天姿"</f>
        <v>李天姿</v>
      </c>
      <c r="E373" s="6" t="str">
        <f>"202409211004"</f>
        <v>202409211004</v>
      </c>
      <c r="F373" s="6" t="str">
        <f>"10"</f>
        <v>10</v>
      </c>
      <c r="G373" s="6" t="str">
        <f>"04"</f>
        <v>04</v>
      </c>
      <c r="H373" s="7"/>
      <c r="I373" s="8"/>
      <c r="J373" s="8" t="s">
        <v>12</v>
      </c>
    </row>
    <row r="374" spans="1:10">
      <c r="A374" s="6">
        <v>372</v>
      </c>
      <c r="B374" s="6" t="str">
        <f t="shared" si="5"/>
        <v>0102</v>
      </c>
      <c r="C374" s="6" t="s">
        <v>13</v>
      </c>
      <c r="D374" s="6" t="str">
        <f>"韦亚靖"</f>
        <v>韦亚靖</v>
      </c>
      <c r="E374" s="6" t="str">
        <f>"202409211008"</f>
        <v>202409211008</v>
      </c>
      <c r="F374" s="6" t="str">
        <f>"10"</f>
        <v>10</v>
      </c>
      <c r="G374" s="6" t="str">
        <f>"08"</f>
        <v>08</v>
      </c>
      <c r="H374" s="7"/>
      <c r="I374" s="8"/>
      <c r="J374" s="8" t="s">
        <v>12</v>
      </c>
    </row>
    <row r="375" spans="1:10">
      <c r="A375" s="6">
        <v>373</v>
      </c>
      <c r="B375" s="6" t="str">
        <f t="shared" si="5"/>
        <v>0102</v>
      </c>
      <c r="C375" s="6" t="s">
        <v>13</v>
      </c>
      <c r="D375" s="6" t="str">
        <f>"符燕芯"</f>
        <v>符燕芯</v>
      </c>
      <c r="E375" s="6" t="str">
        <f>"202409211009"</f>
        <v>202409211009</v>
      </c>
      <c r="F375" s="6" t="str">
        <f>"10"</f>
        <v>10</v>
      </c>
      <c r="G375" s="6" t="str">
        <f>"09"</f>
        <v>09</v>
      </c>
      <c r="H375" s="7"/>
      <c r="I375" s="8"/>
      <c r="J375" s="8" t="s">
        <v>12</v>
      </c>
    </row>
    <row r="376" spans="1:10">
      <c r="A376" s="6">
        <v>374</v>
      </c>
      <c r="B376" s="6" t="str">
        <f t="shared" si="5"/>
        <v>0102</v>
      </c>
      <c r="C376" s="6" t="s">
        <v>13</v>
      </c>
      <c r="D376" s="6" t="str">
        <f>"卢荣英"</f>
        <v>卢荣英</v>
      </c>
      <c r="E376" s="6" t="str">
        <f>"202409211013"</f>
        <v>202409211013</v>
      </c>
      <c r="F376" s="6" t="str">
        <f>"10"</f>
        <v>10</v>
      </c>
      <c r="G376" s="6" t="str">
        <f>"13"</f>
        <v>13</v>
      </c>
      <c r="H376" s="7"/>
      <c r="I376" s="8"/>
      <c r="J376" s="8" t="s">
        <v>12</v>
      </c>
    </row>
    <row r="377" spans="1:10">
      <c r="A377" s="6">
        <v>375</v>
      </c>
      <c r="B377" s="6" t="str">
        <f t="shared" si="5"/>
        <v>0102</v>
      </c>
      <c r="C377" s="6" t="s">
        <v>13</v>
      </c>
      <c r="D377" s="6" t="str">
        <f>"王芬"</f>
        <v>王芬</v>
      </c>
      <c r="E377" s="6" t="str">
        <f>"202409211106"</f>
        <v>202409211106</v>
      </c>
      <c r="F377" s="6" t="str">
        <f t="shared" ref="F377:F385" si="6">"11"</f>
        <v>11</v>
      </c>
      <c r="G377" s="6" t="str">
        <f>"06"</f>
        <v>06</v>
      </c>
      <c r="H377" s="7"/>
      <c r="I377" s="8"/>
      <c r="J377" s="8" t="s">
        <v>12</v>
      </c>
    </row>
    <row r="378" spans="1:10">
      <c r="A378" s="6">
        <v>376</v>
      </c>
      <c r="B378" s="6" t="str">
        <f t="shared" si="5"/>
        <v>0102</v>
      </c>
      <c r="C378" s="6" t="s">
        <v>13</v>
      </c>
      <c r="D378" s="6" t="str">
        <f>"王艳莹"</f>
        <v>王艳莹</v>
      </c>
      <c r="E378" s="6" t="str">
        <f>"202409211107"</f>
        <v>202409211107</v>
      </c>
      <c r="F378" s="6" t="str">
        <f t="shared" si="6"/>
        <v>11</v>
      </c>
      <c r="G378" s="6" t="str">
        <f>"07"</f>
        <v>07</v>
      </c>
      <c r="H378" s="7"/>
      <c r="I378" s="8"/>
      <c r="J378" s="8" t="s">
        <v>12</v>
      </c>
    </row>
    <row r="379" spans="1:10">
      <c r="A379" s="6">
        <v>377</v>
      </c>
      <c r="B379" s="6" t="str">
        <f t="shared" si="5"/>
        <v>0102</v>
      </c>
      <c r="C379" s="6" t="s">
        <v>13</v>
      </c>
      <c r="D379" s="6" t="str">
        <f>"蒲宏诗"</f>
        <v>蒲宏诗</v>
      </c>
      <c r="E379" s="6" t="str">
        <f>"202409211109"</f>
        <v>202409211109</v>
      </c>
      <c r="F379" s="6" t="str">
        <f t="shared" si="6"/>
        <v>11</v>
      </c>
      <c r="G379" s="6" t="str">
        <f>"09"</f>
        <v>09</v>
      </c>
      <c r="H379" s="7"/>
      <c r="I379" s="8"/>
      <c r="J379" s="8" t="s">
        <v>12</v>
      </c>
    </row>
    <row r="380" spans="1:10">
      <c r="A380" s="6">
        <v>378</v>
      </c>
      <c r="B380" s="6" t="str">
        <f t="shared" si="5"/>
        <v>0102</v>
      </c>
      <c r="C380" s="6" t="s">
        <v>13</v>
      </c>
      <c r="D380" s="6" t="str">
        <f>"符小娟"</f>
        <v>符小娟</v>
      </c>
      <c r="E380" s="6" t="str">
        <f>"202409211110"</f>
        <v>202409211110</v>
      </c>
      <c r="F380" s="6" t="str">
        <f t="shared" si="6"/>
        <v>11</v>
      </c>
      <c r="G380" s="6" t="str">
        <f>"10"</f>
        <v>10</v>
      </c>
      <c r="H380" s="7"/>
      <c r="I380" s="8"/>
      <c r="J380" s="8" t="s">
        <v>12</v>
      </c>
    </row>
    <row r="381" spans="1:10">
      <c r="A381" s="6">
        <v>379</v>
      </c>
      <c r="B381" s="6" t="str">
        <f t="shared" si="5"/>
        <v>0102</v>
      </c>
      <c r="C381" s="6" t="s">
        <v>13</v>
      </c>
      <c r="D381" s="6" t="str">
        <f>"陈玉婷"</f>
        <v>陈玉婷</v>
      </c>
      <c r="E381" s="6" t="str">
        <f>"202409211114"</f>
        <v>202409211114</v>
      </c>
      <c r="F381" s="6" t="str">
        <f t="shared" si="6"/>
        <v>11</v>
      </c>
      <c r="G381" s="6" t="str">
        <f>"14"</f>
        <v>14</v>
      </c>
      <c r="H381" s="7"/>
      <c r="I381" s="8"/>
      <c r="J381" s="8" t="s">
        <v>12</v>
      </c>
    </row>
    <row r="382" spans="1:10">
      <c r="A382" s="6">
        <v>380</v>
      </c>
      <c r="B382" s="6" t="str">
        <f t="shared" si="5"/>
        <v>0102</v>
      </c>
      <c r="C382" s="6" t="s">
        <v>13</v>
      </c>
      <c r="D382" s="6" t="str">
        <f>"王秋江"</f>
        <v>王秋江</v>
      </c>
      <c r="E382" s="6" t="str">
        <f>"202409211115"</f>
        <v>202409211115</v>
      </c>
      <c r="F382" s="6" t="str">
        <f t="shared" si="6"/>
        <v>11</v>
      </c>
      <c r="G382" s="6" t="str">
        <f>"15"</f>
        <v>15</v>
      </c>
      <c r="H382" s="7"/>
      <c r="I382" s="8"/>
      <c r="J382" s="8" t="s">
        <v>12</v>
      </c>
    </row>
    <row r="383" spans="1:10">
      <c r="A383" s="6">
        <v>381</v>
      </c>
      <c r="B383" s="6" t="str">
        <f t="shared" si="5"/>
        <v>0102</v>
      </c>
      <c r="C383" s="6" t="s">
        <v>13</v>
      </c>
      <c r="D383" s="6" t="str">
        <f>"邹玲雨"</f>
        <v>邹玲雨</v>
      </c>
      <c r="E383" s="6" t="str">
        <f>"202409211122"</f>
        <v>202409211122</v>
      </c>
      <c r="F383" s="6" t="str">
        <f t="shared" si="6"/>
        <v>11</v>
      </c>
      <c r="G383" s="6" t="str">
        <f>"22"</f>
        <v>22</v>
      </c>
      <c r="H383" s="7"/>
      <c r="I383" s="8"/>
      <c r="J383" s="8" t="s">
        <v>12</v>
      </c>
    </row>
    <row r="384" spans="1:10">
      <c r="A384" s="6">
        <v>382</v>
      </c>
      <c r="B384" s="6" t="str">
        <f t="shared" si="5"/>
        <v>0102</v>
      </c>
      <c r="C384" s="6" t="s">
        <v>13</v>
      </c>
      <c r="D384" s="6" t="str">
        <f>"吴彩虹"</f>
        <v>吴彩虹</v>
      </c>
      <c r="E384" s="6" t="str">
        <f>"202409211123"</f>
        <v>202409211123</v>
      </c>
      <c r="F384" s="6" t="str">
        <f t="shared" si="6"/>
        <v>11</v>
      </c>
      <c r="G384" s="6" t="str">
        <f>"23"</f>
        <v>23</v>
      </c>
      <c r="H384" s="7"/>
      <c r="I384" s="8"/>
      <c r="J384" s="8" t="s">
        <v>12</v>
      </c>
    </row>
    <row r="385" spans="1:10">
      <c r="A385" s="6">
        <v>383</v>
      </c>
      <c r="B385" s="6" t="str">
        <f t="shared" si="5"/>
        <v>0102</v>
      </c>
      <c r="C385" s="6" t="s">
        <v>13</v>
      </c>
      <c r="D385" s="6" t="str">
        <f>"张国琼"</f>
        <v>张国琼</v>
      </c>
      <c r="E385" s="6" t="str">
        <f>"202409211127"</f>
        <v>202409211127</v>
      </c>
      <c r="F385" s="6" t="str">
        <f t="shared" si="6"/>
        <v>11</v>
      </c>
      <c r="G385" s="6" t="str">
        <f>"27"</f>
        <v>27</v>
      </c>
      <c r="H385" s="7"/>
      <c r="I385" s="8"/>
      <c r="J385" s="8" t="s">
        <v>12</v>
      </c>
    </row>
    <row r="386" spans="1:10">
      <c r="A386" s="6">
        <v>384</v>
      </c>
      <c r="B386" s="6" t="str">
        <f t="shared" si="5"/>
        <v>0102</v>
      </c>
      <c r="C386" s="6" t="s">
        <v>13</v>
      </c>
      <c r="D386" s="6" t="str">
        <f>"苏虹虹"</f>
        <v>苏虹虹</v>
      </c>
      <c r="E386" s="6" t="str">
        <f>"202409211205"</f>
        <v>202409211205</v>
      </c>
      <c r="F386" s="6" t="str">
        <f>"12"</f>
        <v>12</v>
      </c>
      <c r="G386" s="6" t="str">
        <f>"05"</f>
        <v>05</v>
      </c>
      <c r="H386" s="7"/>
      <c r="I386" s="8"/>
      <c r="J386" s="8" t="s">
        <v>12</v>
      </c>
    </row>
    <row r="387" spans="1:10">
      <c r="A387" s="6">
        <v>385</v>
      </c>
      <c r="B387" s="6" t="str">
        <f t="shared" si="5"/>
        <v>0102</v>
      </c>
      <c r="C387" s="6" t="s">
        <v>13</v>
      </c>
      <c r="D387" s="6" t="str">
        <f>"唐家杏"</f>
        <v>唐家杏</v>
      </c>
      <c r="E387" s="6" t="str">
        <f>"202409211208"</f>
        <v>202409211208</v>
      </c>
      <c r="F387" s="6" t="str">
        <f>"12"</f>
        <v>12</v>
      </c>
      <c r="G387" s="6" t="str">
        <f>"08"</f>
        <v>08</v>
      </c>
      <c r="H387" s="7"/>
      <c r="I387" s="8"/>
      <c r="J387" s="8" t="s">
        <v>12</v>
      </c>
    </row>
    <row r="388" spans="1:10">
      <c r="A388" s="6">
        <v>386</v>
      </c>
      <c r="B388" s="6" t="str">
        <f t="shared" si="5"/>
        <v>0102</v>
      </c>
      <c r="C388" s="6" t="s">
        <v>13</v>
      </c>
      <c r="D388" s="6" t="str">
        <f>"郑家慧"</f>
        <v>郑家慧</v>
      </c>
      <c r="E388" s="6" t="str">
        <f>"202409211212"</f>
        <v>202409211212</v>
      </c>
      <c r="F388" s="6" t="str">
        <f>"12"</f>
        <v>12</v>
      </c>
      <c r="G388" s="6" t="str">
        <f>"12"</f>
        <v>12</v>
      </c>
      <c r="H388" s="7"/>
      <c r="I388" s="8"/>
      <c r="J388" s="8" t="s">
        <v>12</v>
      </c>
    </row>
    <row r="389" spans="1:10">
      <c r="A389" s="6">
        <v>387</v>
      </c>
      <c r="B389" s="6" t="str">
        <f t="shared" ref="B389:B398" si="7">"0102"</f>
        <v>0102</v>
      </c>
      <c r="C389" s="6" t="s">
        <v>13</v>
      </c>
      <c r="D389" s="6" t="str">
        <f>"潘朝丽"</f>
        <v>潘朝丽</v>
      </c>
      <c r="E389" s="6" t="str">
        <f>"202409211225"</f>
        <v>202409211225</v>
      </c>
      <c r="F389" s="6" t="str">
        <f>"12"</f>
        <v>12</v>
      </c>
      <c r="G389" s="6" t="str">
        <f>"25"</f>
        <v>25</v>
      </c>
      <c r="H389" s="7"/>
      <c r="I389" s="8"/>
      <c r="J389" s="8" t="s">
        <v>12</v>
      </c>
    </row>
    <row r="390" spans="1:10">
      <c r="A390" s="6">
        <v>388</v>
      </c>
      <c r="B390" s="6" t="str">
        <f t="shared" si="7"/>
        <v>0102</v>
      </c>
      <c r="C390" s="6" t="s">
        <v>13</v>
      </c>
      <c r="D390" s="6" t="str">
        <f>"陈晓琪"</f>
        <v>陈晓琪</v>
      </c>
      <c r="E390" s="6" t="str">
        <f>"202409211303"</f>
        <v>202409211303</v>
      </c>
      <c r="F390" s="6" t="str">
        <f t="shared" ref="F390:F397" si="8">"13"</f>
        <v>13</v>
      </c>
      <c r="G390" s="6" t="str">
        <f>"03"</f>
        <v>03</v>
      </c>
      <c r="H390" s="7"/>
      <c r="I390" s="8"/>
      <c r="J390" s="8" t="s">
        <v>12</v>
      </c>
    </row>
    <row r="391" spans="1:10">
      <c r="A391" s="6">
        <v>389</v>
      </c>
      <c r="B391" s="6" t="str">
        <f t="shared" si="7"/>
        <v>0102</v>
      </c>
      <c r="C391" s="6" t="s">
        <v>13</v>
      </c>
      <c r="D391" s="6" t="str">
        <f>"陈诗儒"</f>
        <v>陈诗儒</v>
      </c>
      <c r="E391" s="6" t="str">
        <f>"202409211305"</f>
        <v>202409211305</v>
      </c>
      <c r="F391" s="6" t="str">
        <f t="shared" si="8"/>
        <v>13</v>
      </c>
      <c r="G391" s="6" t="str">
        <f>"05"</f>
        <v>05</v>
      </c>
      <c r="H391" s="7"/>
      <c r="I391" s="8"/>
      <c r="J391" s="8" t="s">
        <v>12</v>
      </c>
    </row>
    <row r="392" spans="1:10">
      <c r="A392" s="6">
        <v>390</v>
      </c>
      <c r="B392" s="6" t="str">
        <f t="shared" si="7"/>
        <v>0102</v>
      </c>
      <c r="C392" s="6" t="s">
        <v>13</v>
      </c>
      <c r="D392" s="6" t="str">
        <f>"符文娟"</f>
        <v>符文娟</v>
      </c>
      <c r="E392" s="6" t="str">
        <f>"202409211306"</f>
        <v>202409211306</v>
      </c>
      <c r="F392" s="6" t="str">
        <f t="shared" si="8"/>
        <v>13</v>
      </c>
      <c r="G392" s="6" t="str">
        <f>"06"</f>
        <v>06</v>
      </c>
      <c r="H392" s="7"/>
      <c r="I392" s="8"/>
      <c r="J392" s="8" t="s">
        <v>12</v>
      </c>
    </row>
    <row r="393" spans="1:10">
      <c r="A393" s="6">
        <v>391</v>
      </c>
      <c r="B393" s="6" t="str">
        <f t="shared" si="7"/>
        <v>0102</v>
      </c>
      <c r="C393" s="6" t="s">
        <v>13</v>
      </c>
      <c r="D393" s="6" t="str">
        <f>"何君苗"</f>
        <v>何君苗</v>
      </c>
      <c r="E393" s="6" t="str">
        <f>"202409211307"</f>
        <v>202409211307</v>
      </c>
      <c r="F393" s="6" t="str">
        <f t="shared" si="8"/>
        <v>13</v>
      </c>
      <c r="G393" s="6" t="str">
        <f>"07"</f>
        <v>07</v>
      </c>
      <c r="H393" s="7"/>
      <c r="I393" s="8"/>
      <c r="J393" s="8" t="s">
        <v>12</v>
      </c>
    </row>
    <row r="394" spans="1:10">
      <c r="A394" s="6">
        <v>392</v>
      </c>
      <c r="B394" s="6" t="str">
        <f t="shared" si="7"/>
        <v>0102</v>
      </c>
      <c r="C394" s="6" t="s">
        <v>13</v>
      </c>
      <c r="D394" s="6" t="str">
        <f>"符叶蓓"</f>
        <v>符叶蓓</v>
      </c>
      <c r="E394" s="6" t="str">
        <f>"202409211312"</f>
        <v>202409211312</v>
      </c>
      <c r="F394" s="6" t="str">
        <f t="shared" si="8"/>
        <v>13</v>
      </c>
      <c r="G394" s="6" t="str">
        <f>"12"</f>
        <v>12</v>
      </c>
      <c r="H394" s="7"/>
      <c r="I394" s="8"/>
      <c r="J394" s="8" t="s">
        <v>12</v>
      </c>
    </row>
    <row r="395" spans="1:10">
      <c r="A395" s="6">
        <v>393</v>
      </c>
      <c r="B395" s="6" t="str">
        <f t="shared" si="7"/>
        <v>0102</v>
      </c>
      <c r="C395" s="6" t="s">
        <v>13</v>
      </c>
      <c r="D395" s="6" t="str">
        <f>"曾海旋"</f>
        <v>曾海旋</v>
      </c>
      <c r="E395" s="6" t="str">
        <f>"202409211324"</f>
        <v>202409211324</v>
      </c>
      <c r="F395" s="6" t="str">
        <f t="shared" si="8"/>
        <v>13</v>
      </c>
      <c r="G395" s="6" t="str">
        <f>"24"</f>
        <v>24</v>
      </c>
      <c r="H395" s="7"/>
      <c r="I395" s="8"/>
      <c r="J395" s="8" t="s">
        <v>12</v>
      </c>
    </row>
    <row r="396" spans="1:10">
      <c r="A396" s="6">
        <v>394</v>
      </c>
      <c r="B396" s="6" t="str">
        <f t="shared" si="7"/>
        <v>0102</v>
      </c>
      <c r="C396" s="6" t="s">
        <v>13</v>
      </c>
      <c r="D396" s="6" t="str">
        <f>"高佩"</f>
        <v>高佩</v>
      </c>
      <c r="E396" s="6" t="str">
        <f>"202409211325"</f>
        <v>202409211325</v>
      </c>
      <c r="F396" s="6" t="str">
        <f t="shared" si="8"/>
        <v>13</v>
      </c>
      <c r="G396" s="6" t="str">
        <f>"25"</f>
        <v>25</v>
      </c>
      <c r="H396" s="7"/>
      <c r="I396" s="8"/>
      <c r="J396" s="8" t="s">
        <v>12</v>
      </c>
    </row>
    <row r="397" spans="1:10">
      <c r="A397" s="6">
        <v>395</v>
      </c>
      <c r="B397" s="6" t="str">
        <f t="shared" si="7"/>
        <v>0102</v>
      </c>
      <c r="C397" s="6" t="s">
        <v>13</v>
      </c>
      <c r="D397" s="6" t="str">
        <f>"董晓丹"</f>
        <v>董晓丹</v>
      </c>
      <c r="E397" s="6" t="str">
        <f>"202409211330"</f>
        <v>202409211330</v>
      </c>
      <c r="F397" s="6" t="str">
        <f t="shared" si="8"/>
        <v>13</v>
      </c>
      <c r="G397" s="6" t="str">
        <f>"30"</f>
        <v>30</v>
      </c>
      <c r="H397" s="7"/>
      <c r="I397" s="8"/>
      <c r="J397" s="8" t="s">
        <v>12</v>
      </c>
    </row>
    <row r="398" spans="1:10">
      <c r="A398" s="6">
        <v>396</v>
      </c>
      <c r="B398" s="6" t="str">
        <f t="shared" si="7"/>
        <v>0102</v>
      </c>
      <c r="C398" s="6" t="s">
        <v>13</v>
      </c>
      <c r="D398" s="6" t="str">
        <f>"杨家惠"</f>
        <v>杨家惠</v>
      </c>
      <c r="E398" s="6" t="str">
        <f>"202409211405"</f>
        <v>202409211405</v>
      </c>
      <c r="F398" s="6" t="str">
        <f>"14"</f>
        <v>14</v>
      </c>
      <c r="G398" s="6" t="str">
        <f>"05"</f>
        <v>05</v>
      </c>
      <c r="H398" s="7"/>
      <c r="I398" s="8"/>
      <c r="J398" s="8" t="s">
        <v>12</v>
      </c>
    </row>
    <row r="399" spans="1:10">
      <c r="A399" s="6">
        <v>397</v>
      </c>
      <c r="B399" s="6" t="str">
        <f t="shared" ref="B399:B462" si="9">"0103"</f>
        <v>0103</v>
      </c>
      <c r="C399" s="6" t="s">
        <v>14</v>
      </c>
      <c r="D399" s="6" t="str">
        <f>"黄雪"</f>
        <v>黄雪</v>
      </c>
      <c r="E399" s="6" t="str">
        <f>"202409211529"</f>
        <v>202409211529</v>
      </c>
      <c r="F399" s="6" t="str">
        <f>"15"</f>
        <v>15</v>
      </c>
      <c r="G399" s="6" t="str">
        <f>"29"</f>
        <v>29</v>
      </c>
      <c r="H399" s="7">
        <v>78.02</v>
      </c>
      <c r="I399" s="8">
        <v>1</v>
      </c>
      <c r="J399" s="8"/>
    </row>
    <row r="400" spans="1:10">
      <c r="A400" s="6">
        <v>398</v>
      </c>
      <c r="B400" s="6" t="str">
        <f t="shared" si="9"/>
        <v>0103</v>
      </c>
      <c r="C400" s="6" t="s">
        <v>14</v>
      </c>
      <c r="D400" s="6" t="str">
        <f>"莫冰"</f>
        <v>莫冰</v>
      </c>
      <c r="E400" s="6" t="str">
        <f>"202409212003"</f>
        <v>202409212003</v>
      </c>
      <c r="F400" s="6" t="str">
        <f>"20"</f>
        <v>20</v>
      </c>
      <c r="G400" s="6" t="str">
        <f>"03"</f>
        <v>03</v>
      </c>
      <c r="H400" s="7">
        <v>76.98</v>
      </c>
      <c r="I400" s="8">
        <v>2</v>
      </c>
      <c r="J400" s="8"/>
    </row>
    <row r="401" spans="1:10">
      <c r="A401" s="6">
        <v>399</v>
      </c>
      <c r="B401" s="6" t="str">
        <f t="shared" si="9"/>
        <v>0103</v>
      </c>
      <c r="C401" s="6" t="s">
        <v>14</v>
      </c>
      <c r="D401" s="6" t="str">
        <f>"王秀芬"</f>
        <v>王秀芬</v>
      </c>
      <c r="E401" s="6" t="str">
        <f>"202409212115"</f>
        <v>202409212115</v>
      </c>
      <c r="F401" s="6" t="str">
        <f>"21"</f>
        <v>21</v>
      </c>
      <c r="G401" s="6" t="str">
        <f>"15"</f>
        <v>15</v>
      </c>
      <c r="H401" s="7">
        <v>76.81</v>
      </c>
      <c r="I401" s="8">
        <v>3</v>
      </c>
      <c r="J401" s="8"/>
    </row>
    <row r="402" spans="1:10">
      <c r="A402" s="6">
        <v>400</v>
      </c>
      <c r="B402" s="6" t="str">
        <f t="shared" si="9"/>
        <v>0103</v>
      </c>
      <c r="C402" s="6" t="s">
        <v>14</v>
      </c>
      <c r="D402" s="6" t="str">
        <f>"李佳穗"</f>
        <v>李佳穗</v>
      </c>
      <c r="E402" s="6" t="str">
        <f>"202409212329"</f>
        <v>202409212329</v>
      </c>
      <c r="F402" s="6" t="str">
        <f>"23"</f>
        <v>23</v>
      </c>
      <c r="G402" s="6" t="str">
        <f>"29"</f>
        <v>29</v>
      </c>
      <c r="H402" s="7">
        <v>75.29</v>
      </c>
      <c r="I402" s="8">
        <v>4</v>
      </c>
      <c r="J402" s="8"/>
    </row>
    <row r="403" spans="1:10">
      <c r="A403" s="6">
        <v>401</v>
      </c>
      <c r="B403" s="6" t="str">
        <f t="shared" si="9"/>
        <v>0103</v>
      </c>
      <c r="C403" s="6" t="s">
        <v>14</v>
      </c>
      <c r="D403" s="6" t="str">
        <f>"冯少丹"</f>
        <v>冯少丹</v>
      </c>
      <c r="E403" s="6" t="str">
        <f>"202409211526"</f>
        <v>202409211526</v>
      </c>
      <c r="F403" s="6" t="str">
        <f>"15"</f>
        <v>15</v>
      </c>
      <c r="G403" s="6" t="str">
        <f>"26"</f>
        <v>26</v>
      </c>
      <c r="H403" s="7">
        <v>74.22</v>
      </c>
      <c r="I403" s="8">
        <v>5</v>
      </c>
      <c r="J403" s="8"/>
    </row>
    <row r="404" spans="1:10">
      <c r="A404" s="6">
        <v>402</v>
      </c>
      <c r="B404" s="6" t="str">
        <f t="shared" si="9"/>
        <v>0103</v>
      </c>
      <c r="C404" s="6" t="s">
        <v>14</v>
      </c>
      <c r="D404" s="6" t="str">
        <f>"王婷"</f>
        <v>王婷</v>
      </c>
      <c r="E404" s="6" t="str">
        <f>"202409211508"</f>
        <v>202409211508</v>
      </c>
      <c r="F404" s="6" t="str">
        <f>"15"</f>
        <v>15</v>
      </c>
      <c r="G404" s="6" t="str">
        <f>"08"</f>
        <v>08</v>
      </c>
      <c r="H404" s="7">
        <v>74</v>
      </c>
      <c r="I404" s="8">
        <v>6</v>
      </c>
      <c r="J404" s="8"/>
    </row>
    <row r="405" spans="1:10">
      <c r="A405" s="6">
        <v>403</v>
      </c>
      <c r="B405" s="6" t="str">
        <f t="shared" si="9"/>
        <v>0103</v>
      </c>
      <c r="C405" s="6" t="s">
        <v>14</v>
      </c>
      <c r="D405" s="6" t="str">
        <f>"王翔"</f>
        <v>王翔</v>
      </c>
      <c r="E405" s="6" t="str">
        <f>"202409212310"</f>
        <v>202409212310</v>
      </c>
      <c r="F405" s="6" t="str">
        <f>"23"</f>
        <v>23</v>
      </c>
      <c r="G405" s="6" t="str">
        <f>"10"</f>
        <v>10</v>
      </c>
      <c r="H405" s="7">
        <v>73.9</v>
      </c>
      <c r="I405" s="8">
        <v>7</v>
      </c>
      <c r="J405" s="8"/>
    </row>
    <row r="406" spans="1:10">
      <c r="A406" s="6">
        <v>404</v>
      </c>
      <c r="B406" s="6" t="str">
        <f t="shared" si="9"/>
        <v>0103</v>
      </c>
      <c r="C406" s="6" t="s">
        <v>14</v>
      </c>
      <c r="D406" s="6" t="str">
        <f>"郑乐乐"</f>
        <v>郑乐乐</v>
      </c>
      <c r="E406" s="6" t="str">
        <f>"202409212014"</f>
        <v>202409212014</v>
      </c>
      <c r="F406" s="6" t="str">
        <f>"20"</f>
        <v>20</v>
      </c>
      <c r="G406" s="6" t="str">
        <f>"14"</f>
        <v>14</v>
      </c>
      <c r="H406" s="7">
        <v>73.64</v>
      </c>
      <c r="I406" s="8">
        <v>8</v>
      </c>
      <c r="J406" s="8"/>
    </row>
    <row r="407" spans="1:10">
      <c r="A407" s="6">
        <v>405</v>
      </c>
      <c r="B407" s="6" t="str">
        <f t="shared" si="9"/>
        <v>0103</v>
      </c>
      <c r="C407" s="6" t="s">
        <v>14</v>
      </c>
      <c r="D407" s="6" t="str">
        <f>"王梁英"</f>
        <v>王梁英</v>
      </c>
      <c r="E407" s="6" t="str">
        <f>"202409211502"</f>
        <v>202409211502</v>
      </c>
      <c r="F407" s="6" t="str">
        <f>"15"</f>
        <v>15</v>
      </c>
      <c r="G407" s="6" t="str">
        <f>"02"</f>
        <v>02</v>
      </c>
      <c r="H407" s="7">
        <v>73.62</v>
      </c>
      <c r="I407" s="8">
        <v>9</v>
      </c>
      <c r="J407" s="8"/>
    </row>
    <row r="408" spans="1:10">
      <c r="A408" s="6">
        <v>406</v>
      </c>
      <c r="B408" s="6" t="str">
        <f t="shared" si="9"/>
        <v>0103</v>
      </c>
      <c r="C408" s="6" t="s">
        <v>14</v>
      </c>
      <c r="D408" s="6" t="str">
        <f>"黄倩倩"</f>
        <v>黄倩倩</v>
      </c>
      <c r="E408" s="6" t="str">
        <f>"202409211514"</f>
        <v>202409211514</v>
      </c>
      <c r="F408" s="6" t="str">
        <f>"15"</f>
        <v>15</v>
      </c>
      <c r="G408" s="6" t="str">
        <f>"14"</f>
        <v>14</v>
      </c>
      <c r="H408" s="7">
        <v>73.16</v>
      </c>
      <c r="I408" s="8">
        <v>10</v>
      </c>
      <c r="J408" s="8"/>
    </row>
    <row r="409" spans="1:10">
      <c r="A409" s="6">
        <v>407</v>
      </c>
      <c r="B409" s="6" t="str">
        <f t="shared" si="9"/>
        <v>0103</v>
      </c>
      <c r="C409" s="6" t="s">
        <v>14</v>
      </c>
      <c r="D409" s="6" t="str">
        <f>"陈礼意"</f>
        <v>陈礼意</v>
      </c>
      <c r="E409" s="6" t="str">
        <f>"202409211517"</f>
        <v>202409211517</v>
      </c>
      <c r="F409" s="6" t="str">
        <f>"15"</f>
        <v>15</v>
      </c>
      <c r="G409" s="6" t="str">
        <f>"17"</f>
        <v>17</v>
      </c>
      <c r="H409" s="7">
        <v>72.82</v>
      </c>
      <c r="I409" s="8">
        <v>11</v>
      </c>
      <c r="J409" s="8"/>
    </row>
    <row r="410" spans="1:10">
      <c r="A410" s="6">
        <v>408</v>
      </c>
      <c r="B410" s="6" t="str">
        <f t="shared" si="9"/>
        <v>0103</v>
      </c>
      <c r="C410" s="6" t="s">
        <v>14</v>
      </c>
      <c r="D410" s="6" t="str">
        <f>"李秋鸾"</f>
        <v>李秋鸾</v>
      </c>
      <c r="E410" s="6" t="str">
        <f>"202409211424"</f>
        <v>202409211424</v>
      </c>
      <c r="F410" s="6" t="str">
        <f>"14"</f>
        <v>14</v>
      </c>
      <c r="G410" s="6" t="str">
        <f>"24"</f>
        <v>24</v>
      </c>
      <c r="H410" s="7">
        <v>72.61</v>
      </c>
      <c r="I410" s="8">
        <v>12</v>
      </c>
      <c r="J410" s="8"/>
    </row>
    <row r="411" spans="1:10">
      <c r="A411" s="6">
        <v>409</v>
      </c>
      <c r="B411" s="6" t="str">
        <f t="shared" si="9"/>
        <v>0103</v>
      </c>
      <c r="C411" s="6" t="s">
        <v>14</v>
      </c>
      <c r="D411" s="6" t="str">
        <f>"潘佳佳"</f>
        <v>潘佳佳</v>
      </c>
      <c r="E411" s="6" t="str">
        <f>"202409211515"</f>
        <v>202409211515</v>
      </c>
      <c r="F411" s="6" t="str">
        <f>"15"</f>
        <v>15</v>
      </c>
      <c r="G411" s="6" t="str">
        <f>"15"</f>
        <v>15</v>
      </c>
      <c r="H411" s="7">
        <v>72.35</v>
      </c>
      <c r="I411" s="8">
        <v>13</v>
      </c>
      <c r="J411" s="8"/>
    </row>
    <row r="412" spans="1:10">
      <c r="A412" s="6">
        <v>410</v>
      </c>
      <c r="B412" s="6" t="str">
        <f t="shared" si="9"/>
        <v>0103</v>
      </c>
      <c r="C412" s="6" t="s">
        <v>14</v>
      </c>
      <c r="D412" s="6" t="str">
        <f>"范春婉"</f>
        <v>范春婉</v>
      </c>
      <c r="E412" s="6" t="str">
        <f>"202409211703"</f>
        <v>202409211703</v>
      </c>
      <c r="F412" s="6" t="str">
        <f>"17"</f>
        <v>17</v>
      </c>
      <c r="G412" s="6" t="str">
        <f>"03"</f>
        <v>03</v>
      </c>
      <c r="H412" s="7">
        <v>72.29</v>
      </c>
      <c r="I412" s="8">
        <v>14</v>
      </c>
      <c r="J412" s="8"/>
    </row>
    <row r="413" spans="1:10">
      <c r="A413" s="6">
        <v>411</v>
      </c>
      <c r="B413" s="6" t="str">
        <f t="shared" si="9"/>
        <v>0103</v>
      </c>
      <c r="C413" s="6" t="s">
        <v>14</v>
      </c>
      <c r="D413" s="6" t="str">
        <f>"陈晓梦"</f>
        <v>陈晓梦</v>
      </c>
      <c r="E413" s="6" t="str">
        <f>"202409211701"</f>
        <v>202409211701</v>
      </c>
      <c r="F413" s="6" t="str">
        <f>"17"</f>
        <v>17</v>
      </c>
      <c r="G413" s="6" t="str">
        <f>"01"</f>
        <v>01</v>
      </c>
      <c r="H413" s="7">
        <v>71.56</v>
      </c>
      <c r="I413" s="8">
        <v>15</v>
      </c>
      <c r="J413" s="8"/>
    </row>
    <row r="414" spans="1:10">
      <c r="A414" s="6">
        <v>412</v>
      </c>
      <c r="B414" s="6" t="str">
        <f t="shared" si="9"/>
        <v>0103</v>
      </c>
      <c r="C414" s="6" t="s">
        <v>14</v>
      </c>
      <c r="D414" s="6" t="str">
        <f>"李金桃"</f>
        <v>李金桃</v>
      </c>
      <c r="E414" s="6" t="str">
        <f>"202409212030"</f>
        <v>202409212030</v>
      </c>
      <c r="F414" s="6" t="str">
        <f>"20"</f>
        <v>20</v>
      </c>
      <c r="G414" s="6" t="str">
        <f>"30"</f>
        <v>30</v>
      </c>
      <c r="H414" s="7">
        <v>71.13</v>
      </c>
      <c r="I414" s="8">
        <v>16</v>
      </c>
      <c r="J414" s="8"/>
    </row>
    <row r="415" spans="1:10">
      <c r="A415" s="6">
        <v>413</v>
      </c>
      <c r="B415" s="6" t="str">
        <f t="shared" si="9"/>
        <v>0103</v>
      </c>
      <c r="C415" s="6" t="s">
        <v>14</v>
      </c>
      <c r="D415" s="6" t="str">
        <f>"梁懿懿"</f>
        <v>梁懿懿</v>
      </c>
      <c r="E415" s="6" t="str">
        <f>"202409212308"</f>
        <v>202409212308</v>
      </c>
      <c r="F415" s="6" t="str">
        <f>"23"</f>
        <v>23</v>
      </c>
      <c r="G415" s="6" t="str">
        <f>"08"</f>
        <v>08</v>
      </c>
      <c r="H415" s="7">
        <v>71.04</v>
      </c>
      <c r="I415" s="8">
        <v>17</v>
      </c>
      <c r="J415" s="8"/>
    </row>
    <row r="416" spans="1:10">
      <c r="A416" s="6">
        <v>414</v>
      </c>
      <c r="B416" s="6" t="str">
        <f t="shared" si="9"/>
        <v>0103</v>
      </c>
      <c r="C416" s="6" t="s">
        <v>14</v>
      </c>
      <c r="D416" s="6" t="str">
        <f>"庞娜娜"</f>
        <v>庞娜娜</v>
      </c>
      <c r="E416" s="6" t="str">
        <f>"202409211725"</f>
        <v>202409211725</v>
      </c>
      <c r="F416" s="6" t="str">
        <f>"17"</f>
        <v>17</v>
      </c>
      <c r="G416" s="6" t="str">
        <f>"25"</f>
        <v>25</v>
      </c>
      <c r="H416" s="7">
        <v>70.65</v>
      </c>
      <c r="I416" s="8">
        <v>18</v>
      </c>
      <c r="J416" s="8"/>
    </row>
    <row r="417" spans="1:10">
      <c r="A417" s="6">
        <v>415</v>
      </c>
      <c r="B417" s="6" t="str">
        <f t="shared" si="9"/>
        <v>0103</v>
      </c>
      <c r="C417" s="6" t="s">
        <v>14</v>
      </c>
      <c r="D417" s="6" t="str">
        <f>"吴亚姑"</f>
        <v>吴亚姑</v>
      </c>
      <c r="E417" s="6" t="str">
        <f>"202409211507"</f>
        <v>202409211507</v>
      </c>
      <c r="F417" s="6" t="str">
        <f>"15"</f>
        <v>15</v>
      </c>
      <c r="G417" s="6" t="str">
        <f>"07"</f>
        <v>07</v>
      </c>
      <c r="H417" s="7">
        <v>69.98</v>
      </c>
      <c r="I417" s="8">
        <v>19</v>
      </c>
      <c r="J417" s="8"/>
    </row>
    <row r="418" spans="1:10">
      <c r="A418" s="6">
        <v>416</v>
      </c>
      <c r="B418" s="6" t="str">
        <f t="shared" si="9"/>
        <v>0103</v>
      </c>
      <c r="C418" s="6" t="s">
        <v>14</v>
      </c>
      <c r="D418" s="6" t="str">
        <f>"吴贤丹"</f>
        <v>吴贤丹</v>
      </c>
      <c r="E418" s="6" t="str">
        <f>"202409211822"</f>
        <v>202409211822</v>
      </c>
      <c r="F418" s="6" t="str">
        <f>"18"</f>
        <v>18</v>
      </c>
      <c r="G418" s="6" t="str">
        <f>"22"</f>
        <v>22</v>
      </c>
      <c r="H418" s="7">
        <v>69.86</v>
      </c>
      <c r="I418" s="8">
        <v>20</v>
      </c>
      <c r="J418" s="8"/>
    </row>
    <row r="419" spans="1:10">
      <c r="A419" s="6">
        <v>417</v>
      </c>
      <c r="B419" s="6" t="str">
        <f t="shared" si="9"/>
        <v>0103</v>
      </c>
      <c r="C419" s="6" t="s">
        <v>14</v>
      </c>
      <c r="D419" s="6" t="str">
        <f>"蔡惠羚"</f>
        <v>蔡惠羚</v>
      </c>
      <c r="E419" s="6" t="str">
        <f>"202409212208"</f>
        <v>202409212208</v>
      </c>
      <c r="F419" s="6" t="str">
        <f>"22"</f>
        <v>22</v>
      </c>
      <c r="G419" s="6" t="str">
        <f>"08"</f>
        <v>08</v>
      </c>
      <c r="H419" s="7">
        <v>69.76</v>
      </c>
      <c r="I419" s="8">
        <v>21</v>
      </c>
      <c r="J419" s="8"/>
    </row>
    <row r="420" spans="1:10">
      <c r="A420" s="6">
        <v>418</v>
      </c>
      <c r="B420" s="6" t="str">
        <f t="shared" si="9"/>
        <v>0103</v>
      </c>
      <c r="C420" s="6" t="s">
        <v>14</v>
      </c>
      <c r="D420" s="6" t="str">
        <f>"王青雪"</f>
        <v>王青雪</v>
      </c>
      <c r="E420" s="6" t="str">
        <f>"202409211905"</f>
        <v>202409211905</v>
      </c>
      <c r="F420" s="6" t="str">
        <f>"19"</f>
        <v>19</v>
      </c>
      <c r="G420" s="6" t="str">
        <f>"05"</f>
        <v>05</v>
      </c>
      <c r="H420" s="7">
        <v>69.52</v>
      </c>
      <c r="I420" s="8">
        <v>22</v>
      </c>
      <c r="J420" s="8"/>
    </row>
    <row r="421" spans="1:10">
      <c r="A421" s="6">
        <v>419</v>
      </c>
      <c r="B421" s="6" t="str">
        <f t="shared" si="9"/>
        <v>0103</v>
      </c>
      <c r="C421" s="6" t="s">
        <v>14</v>
      </c>
      <c r="D421" s="6" t="str">
        <f>"黄玉容"</f>
        <v>黄玉容</v>
      </c>
      <c r="E421" s="6" t="str">
        <f>"202409211823"</f>
        <v>202409211823</v>
      </c>
      <c r="F421" s="6" t="str">
        <f>"18"</f>
        <v>18</v>
      </c>
      <c r="G421" s="6" t="str">
        <f>"23"</f>
        <v>23</v>
      </c>
      <c r="H421" s="7">
        <v>69.44</v>
      </c>
      <c r="I421" s="8">
        <v>23</v>
      </c>
      <c r="J421" s="8"/>
    </row>
    <row r="422" spans="1:10">
      <c r="A422" s="6">
        <v>420</v>
      </c>
      <c r="B422" s="6" t="str">
        <f t="shared" si="9"/>
        <v>0103</v>
      </c>
      <c r="C422" s="6" t="s">
        <v>14</v>
      </c>
      <c r="D422" s="6" t="str">
        <f>"李晓芬"</f>
        <v>李晓芬</v>
      </c>
      <c r="E422" s="6" t="str">
        <f>"202409212029"</f>
        <v>202409212029</v>
      </c>
      <c r="F422" s="6" t="str">
        <f>"20"</f>
        <v>20</v>
      </c>
      <c r="G422" s="6" t="str">
        <f>"29"</f>
        <v>29</v>
      </c>
      <c r="H422" s="7">
        <v>69.13</v>
      </c>
      <c r="I422" s="8">
        <v>24</v>
      </c>
      <c r="J422" s="8"/>
    </row>
    <row r="423" spans="1:10">
      <c r="A423" s="6">
        <v>421</v>
      </c>
      <c r="B423" s="6" t="str">
        <f t="shared" si="9"/>
        <v>0103</v>
      </c>
      <c r="C423" s="6" t="s">
        <v>14</v>
      </c>
      <c r="D423" s="6" t="str">
        <f>"苏华"</f>
        <v>苏华</v>
      </c>
      <c r="E423" s="6" t="str">
        <f>"202409211715"</f>
        <v>202409211715</v>
      </c>
      <c r="F423" s="6" t="str">
        <f>"17"</f>
        <v>17</v>
      </c>
      <c r="G423" s="6" t="str">
        <f>"15"</f>
        <v>15</v>
      </c>
      <c r="H423" s="7">
        <v>68.46</v>
      </c>
      <c r="I423" s="8">
        <v>25</v>
      </c>
      <c r="J423" s="8"/>
    </row>
    <row r="424" spans="1:10">
      <c r="A424" s="6">
        <v>422</v>
      </c>
      <c r="B424" s="6" t="str">
        <f t="shared" si="9"/>
        <v>0103</v>
      </c>
      <c r="C424" s="6" t="s">
        <v>14</v>
      </c>
      <c r="D424" s="6" t="str">
        <f>"李慧燕"</f>
        <v>李慧燕</v>
      </c>
      <c r="E424" s="6" t="str">
        <f>"202409212118"</f>
        <v>202409212118</v>
      </c>
      <c r="F424" s="6" t="str">
        <f>"21"</f>
        <v>21</v>
      </c>
      <c r="G424" s="6" t="str">
        <f>"18"</f>
        <v>18</v>
      </c>
      <c r="H424" s="7">
        <v>68.41</v>
      </c>
      <c r="I424" s="8">
        <v>26</v>
      </c>
      <c r="J424" s="8"/>
    </row>
    <row r="425" spans="1:10">
      <c r="A425" s="6">
        <v>423</v>
      </c>
      <c r="B425" s="6" t="str">
        <f t="shared" si="9"/>
        <v>0103</v>
      </c>
      <c r="C425" s="6" t="s">
        <v>14</v>
      </c>
      <c r="D425" s="6" t="str">
        <f>"黄晓静"</f>
        <v>黄晓静</v>
      </c>
      <c r="E425" s="6" t="str">
        <f>"202409212026"</f>
        <v>202409212026</v>
      </c>
      <c r="F425" s="6" t="str">
        <f>"20"</f>
        <v>20</v>
      </c>
      <c r="G425" s="6" t="str">
        <f>"26"</f>
        <v>26</v>
      </c>
      <c r="H425" s="7">
        <v>68.35</v>
      </c>
      <c r="I425" s="8">
        <v>27</v>
      </c>
      <c r="J425" s="8"/>
    </row>
    <row r="426" spans="1:10">
      <c r="A426" s="6">
        <v>424</v>
      </c>
      <c r="B426" s="6" t="str">
        <f t="shared" si="9"/>
        <v>0103</v>
      </c>
      <c r="C426" s="6" t="s">
        <v>14</v>
      </c>
      <c r="D426" s="6" t="str">
        <f>"卢运双"</f>
        <v>卢运双</v>
      </c>
      <c r="E426" s="6" t="str">
        <f>"202409211925"</f>
        <v>202409211925</v>
      </c>
      <c r="F426" s="6" t="str">
        <f>"19"</f>
        <v>19</v>
      </c>
      <c r="G426" s="6" t="str">
        <f>"25"</f>
        <v>25</v>
      </c>
      <c r="H426" s="7">
        <v>68.33</v>
      </c>
      <c r="I426" s="8">
        <v>28</v>
      </c>
      <c r="J426" s="8"/>
    </row>
    <row r="427" spans="1:10">
      <c r="A427" s="6">
        <v>425</v>
      </c>
      <c r="B427" s="6" t="str">
        <f t="shared" si="9"/>
        <v>0103</v>
      </c>
      <c r="C427" s="6" t="s">
        <v>14</v>
      </c>
      <c r="D427" s="6" t="str">
        <f>"方玫瑰"</f>
        <v>方玫瑰</v>
      </c>
      <c r="E427" s="6" t="str">
        <f>"202409212219"</f>
        <v>202409212219</v>
      </c>
      <c r="F427" s="6" t="str">
        <f>"22"</f>
        <v>22</v>
      </c>
      <c r="G427" s="6" t="str">
        <f>"19"</f>
        <v>19</v>
      </c>
      <c r="H427" s="7">
        <v>68.28</v>
      </c>
      <c r="I427" s="8">
        <v>29</v>
      </c>
      <c r="J427" s="8"/>
    </row>
    <row r="428" spans="1:10">
      <c r="A428" s="6">
        <v>426</v>
      </c>
      <c r="B428" s="6" t="str">
        <f t="shared" si="9"/>
        <v>0103</v>
      </c>
      <c r="C428" s="6" t="s">
        <v>14</v>
      </c>
      <c r="D428" s="6" t="str">
        <f>"黄琬婷"</f>
        <v>黄琬婷</v>
      </c>
      <c r="E428" s="6" t="str">
        <f>"202409211430"</f>
        <v>202409211430</v>
      </c>
      <c r="F428" s="6" t="str">
        <f>"14"</f>
        <v>14</v>
      </c>
      <c r="G428" s="6" t="str">
        <f>"30"</f>
        <v>30</v>
      </c>
      <c r="H428" s="7">
        <v>68.24</v>
      </c>
      <c r="I428" s="8">
        <v>30</v>
      </c>
      <c r="J428" s="8"/>
    </row>
    <row r="429" spans="1:10">
      <c r="A429" s="6">
        <v>427</v>
      </c>
      <c r="B429" s="6" t="str">
        <f t="shared" si="9"/>
        <v>0103</v>
      </c>
      <c r="C429" s="6" t="s">
        <v>14</v>
      </c>
      <c r="D429" s="6" t="str">
        <f>"何菲"</f>
        <v>何菲</v>
      </c>
      <c r="E429" s="6" t="str">
        <f>"202409212221"</f>
        <v>202409212221</v>
      </c>
      <c r="F429" s="6" t="str">
        <f>"22"</f>
        <v>22</v>
      </c>
      <c r="G429" s="6" t="str">
        <f>"21"</f>
        <v>21</v>
      </c>
      <c r="H429" s="7">
        <v>68.02</v>
      </c>
      <c r="I429" s="8">
        <v>31</v>
      </c>
      <c r="J429" s="8"/>
    </row>
    <row r="430" spans="1:10">
      <c r="A430" s="6">
        <v>428</v>
      </c>
      <c r="B430" s="6" t="str">
        <f t="shared" si="9"/>
        <v>0103</v>
      </c>
      <c r="C430" s="6" t="s">
        <v>14</v>
      </c>
      <c r="D430" s="6" t="str">
        <f>"辜春喜"</f>
        <v>辜春喜</v>
      </c>
      <c r="E430" s="6" t="str">
        <f>"202409212027"</f>
        <v>202409212027</v>
      </c>
      <c r="F430" s="6" t="str">
        <f>"20"</f>
        <v>20</v>
      </c>
      <c r="G430" s="6" t="str">
        <f>"27"</f>
        <v>27</v>
      </c>
      <c r="H430" s="7">
        <v>67.82</v>
      </c>
      <c r="I430" s="8">
        <v>32</v>
      </c>
      <c r="J430" s="8"/>
    </row>
    <row r="431" spans="1:10">
      <c r="A431" s="6">
        <v>429</v>
      </c>
      <c r="B431" s="6" t="str">
        <f t="shared" si="9"/>
        <v>0103</v>
      </c>
      <c r="C431" s="6" t="s">
        <v>14</v>
      </c>
      <c r="D431" s="6" t="str">
        <f>"王娟"</f>
        <v>王娟</v>
      </c>
      <c r="E431" s="6" t="str">
        <f>"202409211410"</f>
        <v>202409211410</v>
      </c>
      <c r="F431" s="6" t="str">
        <f>"14"</f>
        <v>14</v>
      </c>
      <c r="G431" s="6" t="str">
        <f>"10"</f>
        <v>10</v>
      </c>
      <c r="H431" s="7">
        <v>67.78</v>
      </c>
      <c r="I431" s="8">
        <v>33</v>
      </c>
      <c r="J431" s="8"/>
    </row>
    <row r="432" spans="1:10">
      <c r="A432" s="6">
        <v>430</v>
      </c>
      <c r="B432" s="6" t="str">
        <f t="shared" si="9"/>
        <v>0103</v>
      </c>
      <c r="C432" s="6" t="s">
        <v>14</v>
      </c>
      <c r="D432" s="6" t="str">
        <f>"陈辉"</f>
        <v>陈辉</v>
      </c>
      <c r="E432" s="6" t="str">
        <f>"202409211923"</f>
        <v>202409211923</v>
      </c>
      <c r="F432" s="6" t="str">
        <f>"19"</f>
        <v>19</v>
      </c>
      <c r="G432" s="6" t="str">
        <f>"23"</f>
        <v>23</v>
      </c>
      <c r="H432" s="7">
        <v>67.63</v>
      </c>
      <c r="I432" s="8">
        <v>34</v>
      </c>
      <c r="J432" s="8"/>
    </row>
    <row r="433" spans="1:10">
      <c r="A433" s="6">
        <v>431</v>
      </c>
      <c r="B433" s="6" t="str">
        <f t="shared" si="9"/>
        <v>0103</v>
      </c>
      <c r="C433" s="6" t="s">
        <v>14</v>
      </c>
      <c r="D433" s="6" t="str">
        <f>"何业雅"</f>
        <v>何业雅</v>
      </c>
      <c r="E433" s="6" t="str">
        <f>"202409212010"</f>
        <v>202409212010</v>
      </c>
      <c r="F433" s="6" t="str">
        <f>"20"</f>
        <v>20</v>
      </c>
      <c r="G433" s="6" t="str">
        <f>"10"</f>
        <v>10</v>
      </c>
      <c r="H433" s="7">
        <v>67.63</v>
      </c>
      <c r="I433" s="8">
        <v>35</v>
      </c>
      <c r="J433" s="8"/>
    </row>
    <row r="434" spans="1:10">
      <c r="A434" s="6">
        <v>432</v>
      </c>
      <c r="B434" s="6" t="str">
        <f t="shared" si="9"/>
        <v>0103</v>
      </c>
      <c r="C434" s="6" t="s">
        <v>14</v>
      </c>
      <c r="D434" s="6" t="str">
        <f>"符聘"</f>
        <v>符聘</v>
      </c>
      <c r="E434" s="6" t="str">
        <f>"202409211606"</f>
        <v>202409211606</v>
      </c>
      <c r="F434" s="6" t="str">
        <f>"16"</f>
        <v>16</v>
      </c>
      <c r="G434" s="6" t="str">
        <f>"06"</f>
        <v>06</v>
      </c>
      <c r="H434" s="7">
        <v>67.2</v>
      </c>
      <c r="I434" s="8">
        <v>36</v>
      </c>
      <c r="J434" s="8"/>
    </row>
    <row r="435" spans="1:10">
      <c r="A435" s="6">
        <v>433</v>
      </c>
      <c r="B435" s="6" t="str">
        <f t="shared" si="9"/>
        <v>0103</v>
      </c>
      <c r="C435" s="6" t="s">
        <v>14</v>
      </c>
      <c r="D435" s="6" t="str">
        <f>"陈亚杏"</f>
        <v>陈亚杏</v>
      </c>
      <c r="E435" s="6" t="str">
        <f>"202409212028"</f>
        <v>202409212028</v>
      </c>
      <c r="F435" s="6" t="str">
        <f>"20"</f>
        <v>20</v>
      </c>
      <c r="G435" s="6" t="str">
        <f>"28"</f>
        <v>28</v>
      </c>
      <c r="H435" s="7">
        <v>67.13</v>
      </c>
      <c r="I435" s="8">
        <v>37</v>
      </c>
      <c r="J435" s="8"/>
    </row>
    <row r="436" spans="1:10">
      <c r="A436" s="6">
        <v>434</v>
      </c>
      <c r="B436" s="6" t="str">
        <f t="shared" si="9"/>
        <v>0103</v>
      </c>
      <c r="C436" s="6" t="s">
        <v>14</v>
      </c>
      <c r="D436" s="6" t="str">
        <f>"陈苗苗"</f>
        <v>陈苗苗</v>
      </c>
      <c r="E436" s="6" t="str">
        <f>"202409212111"</f>
        <v>202409212111</v>
      </c>
      <c r="F436" s="6" t="str">
        <f>"21"</f>
        <v>21</v>
      </c>
      <c r="G436" s="6" t="str">
        <f>"11"</f>
        <v>11</v>
      </c>
      <c r="H436" s="7">
        <v>66.81</v>
      </c>
      <c r="I436" s="8">
        <v>38</v>
      </c>
      <c r="J436" s="8"/>
    </row>
    <row r="437" spans="1:10">
      <c r="A437" s="6">
        <v>435</v>
      </c>
      <c r="B437" s="6" t="str">
        <f t="shared" si="9"/>
        <v>0103</v>
      </c>
      <c r="C437" s="6" t="s">
        <v>14</v>
      </c>
      <c r="D437" s="6" t="str">
        <f>"曾金蓉"</f>
        <v>曾金蓉</v>
      </c>
      <c r="E437" s="6" t="str">
        <f>"202409211512"</f>
        <v>202409211512</v>
      </c>
      <c r="F437" s="6" t="str">
        <f>"15"</f>
        <v>15</v>
      </c>
      <c r="G437" s="6" t="str">
        <f>"12"</f>
        <v>12</v>
      </c>
      <c r="H437" s="7">
        <v>66.77</v>
      </c>
      <c r="I437" s="8">
        <v>39</v>
      </c>
      <c r="J437" s="8"/>
    </row>
    <row r="438" spans="1:10">
      <c r="A438" s="6">
        <v>436</v>
      </c>
      <c r="B438" s="6" t="str">
        <f t="shared" si="9"/>
        <v>0103</v>
      </c>
      <c r="C438" s="6" t="s">
        <v>14</v>
      </c>
      <c r="D438" s="6" t="str">
        <f>"郑立莹"</f>
        <v>郑立莹</v>
      </c>
      <c r="E438" s="6" t="str">
        <f>"202409211629"</f>
        <v>202409211629</v>
      </c>
      <c r="F438" s="6" t="str">
        <f>"16"</f>
        <v>16</v>
      </c>
      <c r="G438" s="6" t="str">
        <f>"29"</f>
        <v>29</v>
      </c>
      <c r="H438" s="7">
        <v>66.73</v>
      </c>
      <c r="I438" s="8">
        <v>40</v>
      </c>
      <c r="J438" s="8"/>
    </row>
    <row r="439" spans="1:10">
      <c r="A439" s="6">
        <v>437</v>
      </c>
      <c r="B439" s="6" t="str">
        <f t="shared" si="9"/>
        <v>0103</v>
      </c>
      <c r="C439" s="6" t="s">
        <v>14</v>
      </c>
      <c r="D439" s="6" t="str">
        <f>"王燕媚"</f>
        <v>王燕媚</v>
      </c>
      <c r="E439" s="6" t="str">
        <f>"202409211426"</f>
        <v>202409211426</v>
      </c>
      <c r="F439" s="6" t="str">
        <f>"14"</f>
        <v>14</v>
      </c>
      <c r="G439" s="6" t="str">
        <f>"26"</f>
        <v>26</v>
      </c>
      <c r="H439" s="7">
        <v>66.67</v>
      </c>
      <c r="I439" s="8">
        <v>41</v>
      </c>
      <c r="J439" s="8"/>
    </row>
    <row r="440" spans="1:10">
      <c r="A440" s="6">
        <v>438</v>
      </c>
      <c r="B440" s="6" t="str">
        <f t="shared" si="9"/>
        <v>0103</v>
      </c>
      <c r="C440" s="6" t="s">
        <v>14</v>
      </c>
      <c r="D440" s="6" t="str">
        <f>"刘文静"</f>
        <v>刘文静</v>
      </c>
      <c r="E440" s="6" t="str">
        <f>"202409212302"</f>
        <v>202409212302</v>
      </c>
      <c r="F440" s="6" t="str">
        <f>"23"</f>
        <v>23</v>
      </c>
      <c r="G440" s="6" t="str">
        <f>"02"</f>
        <v>02</v>
      </c>
      <c r="H440" s="7">
        <v>66.39</v>
      </c>
      <c r="I440" s="8">
        <v>42</v>
      </c>
      <c r="J440" s="8"/>
    </row>
    <row r="441" spans="1:10">
      <c r="A441" s="6">
        <v>439</v>
      </c>
      <c r="B441" s="6" t="str">
        <f t="shared" si="9"/>
        <v>0103</v>
      </c>
      <c r="C441" s="6" t="s">
        <v>14</v>
      </c>
      <c r="D441" s="6" t="str">
        <f>"陈冠"</f>
        <v>陈冠</v>
      </c>
      <c r="E441" s="6" t="str">
        <f>"202409212301"</f>
        <v>202409212301</v>
      </c>
      <c r="F441" s="6" t="str">
        <f>"23"</f>
        <v>23</v>
      </c>
      <c r="G441" s="6" t="str">
        <f>"01"</f>
        <v>01</v>
      </c>
      <c r="H441" s="7">
        <v>66.22</v>
      </c>
      <c r="I441" s="8">
        <v>43</v>
      </c>
      <c r="J441" s="8"/>
    </row>
    <row r="442" spans="1:10">
      <c r="A442" s="6">
        <v>440</v>
      </c>
      <c r="B442" s="6" t="str">
        <f t="shared" si="9"/>
        <v>0103</v>
      </c>
      <c r="C442" s="6" t="s">
        <v>14</v>
      </c>
      <c r="D442" s="6" t="str">
        <f>"李乐"</f>
        <v>李乐</v>
      </c>
      <c r="E442" s="6" t="str">
        <f>"202409212305"</f>
        <v>202409212305</v>
      </c>
      <c r="F442" s="6" t="str">
        <f>"23"</f>
        <v>23</v>
      </c>
      <c r="G442" s="6" t="str">
        <f>"05"</f>
        <v>05</v>
      </c>
      <c r="H442" s="7">
        <v>65.95</v>
      </c>
      <c r="I442" s="8">
        <v>44</v>
      </c>
      <c r="J442" s="8"/>
    </row>
    <row r="443" spans="1:10">
      <c r="A443" s="6">
        <v>441</v>
      </c>
      <c r="B443" s="6" t="str">
        <f t="shared" si="9"/>
        <v>0103</v>
      </c>
      <c r="C443" s="6" t="s">
        <v>14</v>
      </c>
      <c r="D443" s="6" t="str">
        <f>"陈艳莹"</f>
        <v>陈艳莹</v>
      </c>
      <c r="E443" s="6" t="str">
        <f>"202409211730"</f>
        <v>202409211730</v>
      </c>
      <c r="F443" s="6" t="str">
        <f>"17"</f>
        <v>17</v>
      </c>
      <c r="G443" s="6" t="str">
        <f>"30"</f>
        <v>30</v>
      </c>
      <c r="H443" s="7">
        <v>65.93</v>
      </c>
      <c r="I443" s="8">
        <v>45</v>
      </c>
      <c r="J443" s="8"/>
    </row>
    <row r="444" spans="1:10">
      <c r="A444" s="6">
        <v>442</v>
      </c>
      <c r="B444" s="6" t="str">
        <f t="shared" si="9"/>
        <v>0103</v>
      </c>
      <c r="C444" s="6" t="s">
        <v>14</v>
      </c>
      <c r="D444" s="6" t="str">
        <f>"符容瑛"</f>
        <v>符容瑛</v>
      </c>
      <c r="E444" s="6" t="str">
        <f>"202409211716"</f>
        <v>202409211716</v>
      </c>
      <c r="F444" s="6" t="str">
        <f>"17"</f>
        <v>17</v>
      </c>
      <c r="G444" s="6" t="str">
        <f>"16"</f>
        <v>16</v>
      </c>
      <c r="H444" s="7">
        <v>65.43</v>
      </c>
      <c r="I444" s="8">
        <v>46</v>
      </c>
      <c r="J444" s="8"/>
    </row>
    <row r="445" spans="1:10">
      <c r="A445" s="6">
        <v>443</v>
      </c>
      <c r="B445" s="6" t="str">
        <f t="shared" si="9"/>
        <v>0103</v>
      </c>
      <c r="C445" s="6" t="s">
        <v>14</v>
      </c>
      <c r="D445" s="6" t="str">
        <f>"林若"</f>
        <v>林若</v>
      </c>
      <c r="E445" s="6" t="str">
        <f>"202409211609"</f>
        <v>202409211609</v>
      </c>
      <c r="F445" s="6" t="str">
        <f>"16"</f>
        <v>16</v>
      </c>
      <c r="G445" s="6" t="str">
        <f>"09"</f>
        <v>09</v>
      </c>
      <c r="H445" s="7">
        <v>64.64</v>
      </c>
      <c r="I445" s="8">
        <v>47</v>
      </c>
      <c r="J445" s="8"/>
    </row>
    <row r="446" spans="1:10">
      <c r="A446" s="6">
        <v>444</v>
      </c>
      <c r="B446" s="6" t="str">
        <f t="shared" si="9"/>
        <v>0103</v>
      </c>
      <c r="C446" s="6" t="s">
        <v>14</v>
      </c>
      <c r="D446" s="6" t="str">
        <f>"陈思洁"</f>
        <v>陈思洁</v>
      </c>
      <c r="E446" s="6" t="str">
        <f>"202409211419"</f>
        <v>202409211419</v>
      </c>
      <c r="F446" s="6" t="str">
        <f>"14"</f>
        <v>14</v>
      </c>
      <c r="G446" s="6" t="str">
        <f>"19"</f>
        <v>19</v>
      </c>
      <c r="H446" s="7">
        <v>64.56</v>
      </c>
      <c r="I446" s="8">
        <v>48</v>
      </c>
      <c r="J446" s="8"/>
    </row>
    <row r="447" spans="1:10">
      <c r="A447" s="6">
        <v>445</v>
      </c>
      <c r="B447" s="6" t="str">
        <f t="shared" si="9"/>
        <v>0103</v>
      </c>
      <c r="C447" s="6" t="s">
        <v>14</v>
      </c>
      <c r="D447" s="6" t="str">
        <f>"郭汉叶"</f>
        <v>郭汉叶</v>
      </c>
      <c r="E447" s="6" t="str">
        <f>"202409212024"</f>
        <v>202409212024</v>
      </c>
      <c r="F447" s="6" t="str">
        <f>"20"</f>
        <v>20</v>
      </c>
      <c r="G447" s="6" t="str">
        <f>"24"</f>
        <v>24</v>
      </c>
      <c r="H447" s="7">
        <v>64.42</v>
      </c>
      <c r="I447" s="8">
        <v>49</v>
      </c>
      <c r="J447" s="8"/>
    </row>
    <row r="448" spans="1:10">
      <c r="A448" s="6">
        <v>446</v>
      </c>
      <c r="B448" s="6" t="str">
        <f t="shared" si="9"/>
        <v>0103</v>
      </c>
      <c r="C448" s="6" t="s">
        <v>14</v>
      </c>
      <c r="D448" s="6" t="str">
        <f>"廖红雨"</f>
        <v>廖红雨</v>
      </c>
      <c r="E448" s="6" t="str">
        <f>"202409212015"</f>
        <v>202409212015</v>
      </c>
      <c r="F448" s="6" t="str">
        <f>"20"</f>
        <v>20</v>
      </c>
      <c r="G448" s="6" t="str">
        <f>"15"</f>
        <v>15</v>
      </c>
      <c r="H448" s="7">
        <v>64.23</v>
      </c>
      <c r="I448" s="8">
        <v>50</v>
      </c>
      <c r="J448" s="8"/>
    </row>
    <row r="449" spans="1:10">
      <c r="A449" s="6">
        <v>447</v>
      </c>
      <c r="B449" s="6" t="str">
        <f t="shared" si="9"/>
        <v>0103</v>
      </c>
      <c r="C449" s="6" t="s">
        <v>14</v>
      </c>
      <c r="D449" s="6" t="str">
        <f>"江强"</f>
        <v>江强</v>
      </c>
      <c r="E449" s="6" t="str">
        <f>"202409211827"</f>
        <v>202409211827</v>
      </c>
      <c r="F449" s="6" t="str">
        <f>"18"</f>
        <v>18</v>
      </c>
      <c r="G449" s="6" t="str">
        <f>"27"</f>
        <v>27</v>
      </c>
      <c r="H449" s="7">
        <v>64.07</v>
      </c>
      <c r="I449" s="8">
        <v>51</v>
      </c>
      <c r="J449" s="8"/>
    </row>
    <row r="450" spans="1:10">
      <c r="A450" s="6">
        <v>448</v>
      </c>
      <c r="B450" s="6" t="str">
        <f t="shared" si="9"/>
        <v>0103</v>
      </c>
      <c r="C450" s="6" t="s">
        <v>14</v>
      </c>
      <c r="D450" s="6" t="str">
        <f>"麦桂月"</f>
        <v>麦桂月</v>
      </c>
      <c r="E450" s="6" t="str">
        <f>"202409211420"</f>
        <v>202409211420</v>
      </c>
      <c r="F450" s="6" t="str">
        <f>"14"</f>
        <v>14</v>
      </c>
      <c r="G450" s="6" t="str">
        <f>"20"</f>
        <v>20</v>
      </c>
      <c r="H450" s="7">
        <v>64.02</v>
      </c>
      <c r="I450" s="8">
        <v>52</v>
      </c>
      <c r="J450" s="8"/>
    </row>
    <row r="451" spans="1:10">
      <c r="A451" s="6">
        <v>449</v>
      </c>
      <c r="B451" s="6" t="str">
        <f t="shared" si="9"/>
        <v>0103</v>
      </c>
      <c r="C451" s="6" t="s">
        <v>14</v>
      </c>
      <c r="D451" s="6" t="str">
        <f>"羊爱美"</f>
        <v>羊爱美</v>
      </c>
      <c r="E451" s="6" t="str">
        <f>"202409211527"</f>
        <v>202409211527</v>
      </c>
      <c r="F451" s="6" t="str">
        <f>"15"</f>
        <v>15</v>
      </c>
      <c r="G451" s="6" t="str">
        <f>"27"</f>
        <v>27</v>
      </c>
      <c r="H451" s="7">
        <v>64.02</v>
      </c>
      <c r="I451" s="8">
        <v>53</v>
      </c>
      <c r="J451" s="8"/>
    </row>
    <row r="452" spans="1:10">
      <c r="A452" s="6">
        <v>450</v>
      </c>
      <c r="B452" s="6" t="str">
        <f t="shared" si="9"/>
        <v>0103</v>
      </c>
      <c r="C452" s="6" t="s">
        <v>14</v>
      </c>
      <c r="D452" s="6" t="str">
        <f>"庄美娇"</f>
        <v>庄美娇</v>
      </c>
      <c r="E452" s="6" t="str">
        <f>"202409211615"</f>
        <v>202409211615</v>
      </c>
      <c r="F452" s="6" t="str">
        <f>"16"</f>
        <v>16</v>
      </c>
      <c r="G452" s="6" t="str">
        <f>"15"</f>
        <v>15</v>
      </c>
      <c r="H452" s="7">
        <v>63.94</v>
      </c>
      <c r="I452" s="8">
        <v>54</v>
      </c>
      <c r="J452" s="8"/>
    </row>
    <row r="453" spans="1:10">
      <c r="A453" s="6">
        <v>451</v>
      </c>
      <c r="B453" s="6" t="str">
        <f t="shared" si="9"/>
        <v>0103</v>
      </c>
      <c r="C453" s="6" t="s">
        <v>14</v>
      </c>
      <c r="D453" s="6" t="str">
        <f>"李秋兑"</f>
        <v>李秋兑</v>
      </c>
      <c r="E453" s="6" t="str">
        <f>"202409211506"</f>
        <v>202409211506</v>
      </c>
      <c r="F453" s="6" t="str">
        <f>"15"</f>
        <v>15</v>
      </c>
      <c r="G453" s="6" t="str">
        <f>"06"</f>
        <v>06</v>
      </c>
      <c r="H453" s="7">
        <v>63.92</v>
      </c>
      <c r="I453" s="8">
        <v>55</v>
      </c>
      <c r="J453" s="8"/>
    </row>
    <row r="454" spans="1:10">
      <c r="A454" s="6">
        <v>452</v>
      </c>
      <c r="B454" s="6" t="str">
        <f t="shared" si="9"/>
        <v>0103</v>
      </c>
      <c r="C454" s="6" t="s">
        <v>14</v>
      </c>
      <c r="D454" s="6" t="str">
        <f>"谢艳芬"</f>
        <v>谢艳芬</v>
      </c>
      <c r="E454" s="6" t="str">
        <f>"202409212122"</f>
        <v>202409212122</v>
      </c>
      <c r="F454" s="6" t="str">
        <f>"21"</f>
        <v>21</v>
      </c>
      <c r="G454" s="6" t="str">
        <f>"22"</f>
        <v>22</v>
      </c>
      <c r="H454" s="7">
        <v>63.9</v>
      </c>
      <c r="I454" s="8">
        <v>56</v>
      </c>
      <c r="J454" s="8"/>
    </row>
    <row r="455" spans="1:10">
      <c r="A455" s="6">
        <v>453</v>
      </c>
      <c r="B455" s="6" t="str">
        <f t="shared" si="9"/>
        <v>0103</v>
      </c>
      <c r="C455" s="6" t="s">
        <v>14</v>
      </c>
      <c r="D455" s="6" t="str">
        <f>"王诗媚"</f>
        <v>王诗媚</v>
      </c>
      <c r="E455" s="6" t="str">
        <f>"202409211722"</f>
        <v>202409211722</v>
      </c>
      <c r="F455" s="6" t="str">
        <f>"17"</f>
        <v>17</v>
      </c>
      <c r="G455" s="6" t="str">
        <f>"22"</f>
        <v>22</v>
      </c>
      <c r="H455" s="7">
        <v>63.61</v>
      </c>
      <c r="I455" s="8">
        <v>57</v>
      </c>
      <c r="J455" s="8"/>
    </row>
    <row r="456" spans="1:10">
      <c r="A456" s="6">
        <v>454</v>
      </c>
      <c r="B456" s="6" t="str">
        <f t="shared" si="9"/>
        <v>0103</v>
      </c>
      <c r="C456" s="6" t="s">
        <v>14</v>
      </c>
      <c r="D456" s="6" t="str">
        <f>"黄和庆"</f>
        <v>黄和庆</v>
      </c>
      <c r="E456" s="6" t="str">
        <f>"202409211804"</f>
        <v>202409211804</v>
      </c>
      <c r="F456" s="6" t="str">
        <f>"18"</f>
        <v>18</v>
      </c>
      <c r="G456" s="6" t="str">
        <f>"04"</f>
        <v>04</v>
      </c>
      <c r="H456" s="7">
        <v>63.56</v>
      </c>
      <c r="I456" s="8">
        <v>58</v>
      </c>
      <c r="J456" s="8"/>
    </row>
    <row r="457" spans="1:10">
      <c r="A457" s="6">
        <v>455</v>
      </c>
      <c r="B457" s="6" t="str">
        <f t="shared" si="9"/>
        <v>0103</v>
      </c>
      <c r="C457" s="6" t="s">
        <v>14</v>
      </c>
      <c r="D457" s="6" t="str">
        <f>"谢宛玉"</f>
        <v>谢宛玉</v>
      </c>
      <c r="E457" s="6" t="str">
        <f>"202409211618"</f>
        <v>202409211618</v>
      </c>
      <c r="F457" s="6" t="str">
        <f>"16"</f>
        <v>16</v>
      </c>
      <c r="G457" s="6" t="str">
        <f>"18"</f>
        <v>18</v>
      </c>
      <c r="H457" s="7">
        <v>63.47</v>
      </c>
      <c r="I457" s="8">
        <v>59</v>
      </c>
      <c r="J457" s="8"/>
    </row>
    <row r="458" spans="1:10">
      <c r="A458" s="6">
        <v>456</v>
      </c>
      <c r="B458" s="6" t="str">
        <f t="shared" si="9"/>
        <v>0103</v>
      </c>
      <c r="C458" s="6" t="s">
        <v>14</v>
      </c>
      <c r="D458" s="6" t="str">
        <f>"陈燕"</f>
        <v>陈燕</v>
      </c>
      <c r="E458" s="6" t="str">
        <f>"202409211915"</f>
        <v>202409211915</v>
      </c>
      <c r="F458" s="6" t="str">
        <f>"19"</f>
        <v>19</v>
      </c>
      <c r="G458" s="6" t="str">
        <f>"15"</f>
        <v>15</v>
      </c>
      <c r="H458" s="7">
        <v>62.99</v>
      </c>
      <c r="I458" s="8">
        <v>60</v>
      </c>
      <c r="J458" s="8"/>
    </row>
    <row r="459" spans="1:10">
      <c r="A459" s="6">
        <v>457</v>
      </c>
      <c r="B459" s="6" t="str">
        <f t="shared" si="9"/>
        <v>0103</v>
      </c>
      <c r="C459" s="6" t="s">
        <v>14</v>
      </c>
      <c r="D459" s="6" t="str">
        <f>"王小选"</f>
        <v>王小选</v>
      </c>
      <c r="E459" s="6" t="str">
        <f>"202409211501"</f>
        <v>202409211501</v>
      </c>
      <c r="F459" s="6" t="str">
        <f>"15"</f>
        <v>15</v>
      </c>
      <c r="G459" s="6" t="str">
        <f>"01"</f>
        <v>01</v>
      </c>
      <c r="H459" s="7">
        <v>62.98</v>
      </c>
      <c r="I459" s="8">
        <v>61</v>
      </c>
      <c r="J459" s="8"/>
    </row>
    <row r="460" spans="1:10">
      <c r="A460" s="6">
        <v>458</v>
      </c>
      <c r="B460" s="6" t="str">
        <f t="shared" si="9"/>
        <v>0103</v>
      </c>
      <c r="C460" s="6" t="s">
        <v>14</v>
      </c>
      <c r="D460" s="6" t="str">
        <f>"高元怡"</f>
        <v>高元怡</v>
      </c>
      <c r="E460" s="6" t="str">
        <f>"202409212229"</f>
        <v>202409212229</v>
      </c>
      <c r="F460" s="6" t="str">
        <f>"22"</f>
        <v>22</v>
      </c>
      <c r="G460" s="6" t="str">
        <f>"29"</f>
        <v>29</v>
      </c>
      <c r="H460" s="7">
        <v>62.9</v>
      </c>
      <c r="I460" s="8">
        <v>62</v>
      </c>
      <c r="J460" s="8"/>
    </row>
    <row r="461" spans="1:10">
      <c r="A461" s="6">
        <v>459</v>
      </c>
      <c r="B461" s="6" t="str">
        <f t="shared" si="9"/>
        <v>0103</v>
      </c>
      <c r="C461" s="6" t="s">
        <v>14</v>
      </c>
      <c r="D461" s="6" t="str">
        <f>"邢孔立"</f>
        <v>邢孔立</v>
      </c>
      <c r="E461" s="6" t="str">
        <f>"202409211412"</f>
        <v>202409211412</v>
      </c>
      <c r="F461" s="6" t="str">
        <f>"14"</f>
        <v>14</v>
      </c>
      <c r="G461" s="6" t="str">
        <f>"12"</f>
        <v>12</v>
      </c>
      <c r="H461" s="7">
        <v>62.68</v>
      </c>
      <c r="I461" s="8">
        <v>63</v>
      </c>
      <c r="J461" s="8"/>
    </row>
    <row r="462" spans="1:10">
      <c r="A462" s="6">
        <v>460</v>
      </c>
      <c r="B462" s="6" t="str">
        <f t="shared" si="9"/>
        <v>0103</v>
      </c>
      <c r="C462" s="6" t="s">
        <v>14</v>
      </c>
      <c r="D462" s="6" t="str">
        <f>"羊玉妹"</f>
        <v>羊玉妹</v>
      </c>
      <c r="E462" s="6" t="str">
        <f>"202409211519"</f>
        <v>202409211519</v>
      </c>
      <c r="F462" s="6" t="str">
        <f>"15"</f>
        <v>15</v>
      </c>
      <c r="G462" s="6" t="str">
        <f>"19"</f>
        <v>19</v>
      </c>
      <c r="H462" s="7">
        <v>62.58</v>
      </c>
      <c r="I462" s="8">
        <v>64</v>
      </c>
      <c r="J462" s="8"/>
    </row>
    <row r="463" spans="1:10">
      <c r="A463" s="6">
        <v>461</v>
      </c>
      <c r="B463" s="6" t="str">
        <f t="shared" ref="B463:B526" si="10">"0103"</f>
        <v>0103</v>
      </c>
      <c r="C463" s="6" t="s">
        <v>14</v>
      </c>
      <c r="D463" s="6" t="str">
        <f>"黄燕冰"</f>
        <v>黄燕冰</v>
      </c>
      <c r="E463" s="6" t="str">
        <f>"202409211927"</f>
        <v>202409211927</v>
      </c>
      <c r="F463" s="6" t="str">
        <f>"19"</f>
        <v>19</v>
      </c>
      <c r="G463" s="6" t="str">
        <f>"27"</f>
        <v>27</v>
      </c>
      <c r="H463" s="7">
        <v>62.54</v>
      </c>
      <c r="I463" s="8">
        <v>65</v>
      </c>
      <c r="J463" s="8"/>
    </row>
    <row r="464" spans="1:10">
      <c r="A464" s="6">
        <v>462</v>
      </c>
      <c r="B464" s="6" t="str">
        <f t="shared" si="10"/>
        <v>0103</v>
      </c>
      <c r="C464" s="6" t="s">
        <v>14</v>
      </c>
      <c r="D464" s="6" t="str">
        <f>"符得乾"</f>
        <v>符得乾</v>
      </c>
      <c r="E464" s="6" t="str">
        <f>"202409211718"</f>
        <v>202409211718</v>
      </c>
      <c r="F464" s="6" t="str">
        <f>"17"</f>
        <v>17</v>
      </c>
      <c r="G464" s="6" t="str">
        <f>"18"</f>
        <v>18</v>
      </c>
      <c r="H464" s="7">
        <v>62.53</v>
      </c>
      <c r="I464" s="8">
        <v>66</v>
      </c>
      <c r="J464" s="8"/>
    </row>
    <row r="465" spans="1:10">
      <c r="A465" s="6">
        <v>463</v>
      </c>
      <c r="B465" s="6" t="str">
        <f t="shared" si="10"/>
        <v>0103</v>
      </c>
      <c r="C465" s="6" t="s">
        <v>14</v>
      </c>
      <c r="D465" s="6" t="str">
        <f>"谢伟丹"</f>
        <v>谢伟丹</v>
      </c>
      <c r="E465" s="6" t="str">
        <f>"202409211522"</f>
        <v>202409211522</v>
      </c>
      <c r="F465" s="6" t="str">
        <f>"15"</f>
        <v>15</v>
      </c>
      <c r="G465" s="6" t="str">
        <f>"22"</f>
        <v>22</v>
      </c>
      <c r="H465" s="7">
        <v>62.1</v>
      </c>
      <c r="I465" s="8">
        <v>67</v>
      </c>
      <c r="J465" s="8"/>
    </row>
    <row r="466" spans="1:10">
      <c r="A466" s="6">
        <v>464</v>
      </c>
      <c r="B466" s="6" t="str">
        <f t="shared" si="10"/>
        <v>0103</v>
      </c>
      <c r="C466" s="6" t="s">
        <v>14</v>
      </c>
      <c r="D466" s="6" t="str">
        <f>"王淞"</f>
        <v>王淞</v>
      </c>
      <c r="E466" s="6" t="str">
        <f>"202409211711"</f>
        <v>202409211711</v>
      </c>
      <c r="F466" s="6" t="str">
        <f>"17"</f>
        <v>17</v>
      </c>
      <c r="G466" s="6" t="str">
        <f>"11"</f>
        <v>11</v>
      </c>
      <c r="H466" s="7">
        <v>62.08</v>
      </c>
      <c r="I466" s="8">
        <v>68</v>
      </c>
      <c r="J466" s="8"/>
    </row>
    <row r="467" spans="1:10">
      <c r="A467" s="6">
        <v>465</v>
      </c>
      <c r="B467" s="6" t="str">
        <f t="shared" si="10"/>
        <v>0103</v>
      </c>
      <c r="C467" s="6" t="s">
        <v>14</v>
      </c>
      <c r="D467" s="6" t="str">
        <f>"杨春玉"</f>
        <v>杨春玉</v>
      </c>
      <c r="E467" s="6" t="str">
        <f>"202409212205"</f>
        <v>202409212205</v>
      </c>
      <c r="F467" s="6" t="str">
        <f>"22"</f>
        <v>22</v>
      </c>
      <c r="G467" s="6" t="str">
        <f>"05"</f>
        <v>05</v>
      </c>
      <c r="H467" s="7">
        <v>62.07</v>
      </c>
      <c r="I467" s="8">
        <v>69</v>
      </c>
      <c r="J467" s="8"/>
    </row>
    <row r="468" spans="1:10">
      <c r="A468" s="6">
        <v>466</v>
      </c>
      <c r="B468" s="6" t="str">
        <f t="shared" si="10"/>
        <v>0103</v>
      </c>
      <c r="C468" s="6" t="s">
        <v>14</v>
      </c>
      <c r="D468" s="6" t="str">
        <f>"苏淇"</f>
        <v>苏淇</v>
      </c>
      <c r="E468" s="6" t="str">
        <f>"202409212013"</f>
        <v>202409212013</v>
      </c>
      <c r="F468" s="6" t="str">
        <f>"20"</f>
        <v>20</v>
      </c>
      <c r="G468" s="6" t="str">
        <f>"13"</f>
        <v>13</v>
      </c>
      <c r="H468" s="7">
        <v>62.04</v>
      </c>
      <c r="I468" s="8">
        <v>70</v>
      </c>
      <c r="J468" s="8"/>
    </row>
    <row r="469" spans="1:10">
      <c r="A469" s="6">
        <v>467</v>
      </c>
      <c r="B469" s="6" t="str">
        <f t="shared" si="10"/>
        <v>0103</v>
      </c>
      <c r="C469" s="6" t="s">
        <v>14</v>
      </c>
      <c r="D469" s="6" t="str">
        <f>"张彩玲"</f>
        <v>张彩玲</v>
      </c>
      <c r="E469" s="6" t="str">
        <f>"202409211608"</f>
        <v>202409211608</v>
      </c>
      <c r="F469" s="6" t="str">
        <f>"16"</f>
        <v>16</v>
      </c>
      <c r="G469" s="6" t="str">
        <f>"08"</f>
        <v>08</v>
      </c>
      <c r="H469" s="7">
        <v>61.99</v>
      </c>
      <c r="I469" s="8">
        <v>71</v>
      </c>
      <c r="J469" s="8"/>
    </row>
    <row r="470" spans="1:10">
      <c r="A470" s="6">
        <v>468</v>
      </c>
      <c r="B470" s="6" t="str">
        <f t="shared" si="10"/>
        <v>0103</v>
      </c>
      <c r="C470" s="6" t="s">
        <v>14</v>
      </c>
      <c r="D470" s="6" t="str">
        <f>"杨晓静"</f>
        <v>杨晓静</v>
      </c>
      <c r="E470" s="6" t="str">
        <f>"202409211407"</f>
        <v>202409211407</v>
      </c>
      <c r="F470" s="6" t="str">
        <f>"14"</f>
        <v>14</v>
      </c>
      <c r="G470" s="6" t="str">
        <f>"07"</f>
        <v>07</v>
      </c>
      <c r="H470" s="7">
        <v>61.98</v>
      </c>
      <c r="I470" s="8">
        <v>72</v>
      </c>
      <c r="J470" s="8"/>
    </row>
    <row r="471" spans="1:10">
      <c r="A471" s="6">
        <v>469</v>
      </c>
      <c r="B471" s="6" t="str">
        <f t="shared" si="10"/>
        <v>0103</v>
      </c>
      <c r="C471" s="6" t="s">
        <v>14</v>
      </c>
      <c r="D471" s="6" t="str">
        <f>"吴小红"</f>
        <v>吴小红</v>
      </c>
      <c r="E471" s="6" t="str">
        <f>"202409211523"</f>
        <v>202409211523</v>
      </c>
      <c r="F471" s="6" t="str">
        <f>"15"</f>
        <v>15</v>
      </c>
      <c r="G471" s="6" t="str">
        <f>"23"</f>
        <v>23</v>
      </c>
      <c r="H471" s="7">
        <v>61.89</v>
      </c>
      <c r="I471" s="8">
        <v>73</v>
      </c>
      <c r="J471" s="8"/>
    </row>
    <row r="472" spans="1:10">
      <c r="A472" s="6">
        <v>470</v>
      </c>
      <c r="B472" s="6" t="str">
        <f t="shared" si="10"/>
        <v>0103</v>
      </c>
      <c r="C472" s="6" t="s">
        <v>14</v>
      </c>
      <c r="D472" s="6" t="str">
        <f>"洪愉"</f>
        <v>洪愉</v>
      </c>
      <c r="E472" s="6" t="str">
        <f>"202409211623"</f>
        <v>202409211623</v>
      </c>
      <c r="F472" s="6" t="str">
        <f>"16"</f>
        <v>16</v>
      </c>
      <c r="G472" s="6" t="str">
        <f>"23"</f>
        <v>23</v>
      </c>
      <c r="H472" s="7">
        <v>61.77</v>
      </c>
      <c r="I472" s="8">
        <v>74</v>
      </c>
      <c r="J472" s="8"/>
    </row>
    <row r="473" spans="1:10">
      <c r="A473" s="6">
        <v>471</v>
      </c>
      <c r="B473" s="6" t="str">
        <f t="shared" si="10"/>
        <v>0103</v>
      </c>
      <c r="C473" s="6" t="s">
        <v>14</v>
      </c>
      <c r="D473" s="6" t="str">
        <f>"周良鸳"</f>
        <v>周良鸳</v>
      </c>
      <c r="E473" s="6" t="str">
        <f>"202409211728"</f>
        <v>202409211728</v>
      </c>
      <c r="F473" s="6" t="str">
        <f>"17"</f>
        <v>17</v>
      </c>
      <c r="G473" s="6" t="str">
        <f>"28"</f>
        <v>28</v>
      </c>
      <c r="H473" s="7">
        <v>61.73</v>
      </c>
      <c r="I473" s="8">
        <v>75</v>
      </c>
      <c r="J473" s="8"/>
    </row>
    <row r="474" spans="1:10">
      <c r="A474" s="6">
        <v>472</v>
      </c>
      <c r="B474" s="6" t="str">
        <f t="shared" si="10"/>
        <v>0103</v>
      </c>
      <c r="C474" s="6" t="s">
        <v>14</v>
      </c>
      <c r="D474" s="6" t="str">
        <f>"梁月"</f>
        <v>梁月</v>
      </c>
      <c r="E474" s="6" t="str">
        <f>"202409212123"</f>
        <v>202409212123</v>
      </c>
      <c r="F474" s="6" t="str">
        <f>"21"</f>
        <v>21</v>
      </c>
      <c r="G474" s="6" t="str">
        <f>"23"</f>
        <v>23</v>
      </c>
      <c r="H474" s="7">
        <v>61.71</v>
      </c>
      <c r="I474" s="8">
        <v>76</v>
      </c>
      <c r="J474" s="8"/>
    </row>
    <row r="475" spans="1:10">
      <c r="A475" s="6">
        <v>473</v>
      </c>
      <c r="B475" s="6" t="str">
        <f t="shared" si="10"/>
        <v>0103</v>
      </c>
      <c r="C475" s="6" t="s">
        <v>14</v>
      </c>
      <c r="D475" s="6" t="str">
        <f>"胡丽超"</f>
        <v>胡丽超</v>
      </c>
      <c r="E475" s="6" t="str">
        <f>"202409212112"</f>
        <v>202409212112</v>
      </c>
      <c r="F475" s="6" t="str">
        <f>"21"</f>
        <v>21</v>
      </c>
      <c r="G475" s="6" t="str">
        <f>"12"</f>
        <v>12</v>
      </c>
      <c r="H475" s="7">
        <v>61.5</v>
      </c>
      <c r="I475" s="8">
        <v>77</v>
      </c>
      <c r="J475" s="8"/>
    </row>
    <row r="476" spans="1:10">
      <c r="A476" s="6">
        <v>474</v>
      </c>
      <c r="B476" s="6" t="str">
        <f t="shared" si="10"/>
        <v>0103</v>
      </c>
      <c r="C476" s="6" t="s">
        <v>14</v>
      </c>
      <c r="D476" s="6" t="str">
        <f>"胡金虹"</f>
        <v>胡金虹</v>
      </c>
      <c r="E476" s="6" t="str">
        <f>"202409211411"</f>
        <v>202409211411</v>
      </c>
      <c r="F476" s="6" t="str">
        <f>"14"</f>
        <v>14</v>
      </c>
      <c r="G476" s="6" t="str">
        <f>"11"</f>
        <v>11</v>
      </c>
      <c r="H476" s="7">
        <v>61.47</v>
      </c>
      <c r="I476" s="8">
        <v>78</v>
      </c>
      <c r="J476" s="8"/>
    </row>
    <row r="477" spans="1:10">
      <c r="A477" s="6">
        <v>475</v>
      </c>
      <c r="B477" s="6" t="str">
        <f t="shared" si="10"/>
        <v>0103</v>
      </c>
      <c r="C477" s="6" t="s">
        <v>14</v>
      </c>
      <c r="D477" s="6" t="str">
        <f>"李桂美"</f>
        <v>李桂美</v>
      </c>
      <c r="E477" s="6" t="str">
        <f>"202409211709"</f>
        <v>202409211709</v>
      </c>
      <c r="F477" s="6" t="str">
        <f>"17"</f>
        <v>17</v>
      </c>
      <c r="G477" s="6" t="str">
        <f>"09"</f>
        <v>09</v>
      </c>
      <c r="H477" s="7">
        <v>61.43</v>
      </c>
      <c r="I477" s="8">
        <v>79</v>
      </c>
      <c r="J477" s="8"/>
    </row>
    <row r="478" spans="1:10">
      <c r="A478" s="6">
        <v>476</v>
      </c>
      <c r="B478" s="6" t="str">
        <f t="shared" si="10"/>
        <v>0103</v>
      </c>
      <c r="C478" s="6" t="s">
        <v>14</v>
      </c>
      <c r="D478" s="6" t="str">
        <f>"林雪连"</f>
        <v>林雪连</v>
      </c>
      <c r="E478" s="6" t="str">
        <f>"202409212323"</f>
        <v>202409212323</v>
      </c>
      <c r="F478" s="6" t="str">
        <f>"23"</f>
        <v>23</v>
      </c>
      <c r="G478" s="6" t="str">
        <f>"23"</f>
        <v>23</v>
      </c>
      <c r="H478" s="7">
        <v>61.43</v>
      </c>
      <c r="I478" s="8">
        <v>80</v>
      </c>
      <c r="J478" s="8"/>
    </row>
    <row r="479" spans="1:10">
      <c r="A479" s="6">
        <v>477</v>
      </c>
      <c r="B479" s="6" t="str">
        <f t="shared" si="10"/>
        <v>0103</v>
      </c>
      <c r="C479" s="6" t="s">
        <v>14</v>
      </c>
      <c r="D479" s="6" t="str">
        <f>"林天娇"</f>
        <v>林天娇</v>
      </c>
      <c r="E479" s="6" t="str">
        <f>"202409211604"</f>
        <v>202409211604</v>
      </c>
      <c r="F479" s="6" t="str">
        <f>"16"</f>
        <v>16</v>
      </c>
      <c r="G479" s="6" t="str">
        <f>"04"</f>
        <v>04</v>
      </c>
      <c r="H479" s="7">
        <v>61.38</v>
      </c>
      <c r="I479" s="8">
        <v>81</v>
      </c>
      <c r="J479" s="8"/>
    </row>
    <row r="480" spans="1:10">
      <c r="A480" s="6">
        <v>478</v>
      </c>
      <c r="B480" s="6" t="str">
        <f t="shared" si="10"/>
        <v>0103</v>
      </c>
      <c r="C480" s="6" t="s">
        <v>14</v>
      </c>
      <c r="D480" s="6" t="str">
        <f>"陈江迅"</f>
        <v>陈江迅</v>
      </c>
      <c r="E480" s="6" t="str">
        <f>"202409211813"</f>
        <v>202409211813</v>
      </c>
      <c r="F480" s="6" t="str">
        <f>"18"</f>
        <v>18</v>
      </c>
      <c r="G480" s="6" t="str">
        <f>"13"</f>
        <v>13</v>
      </c>
      <c r="H480" s="7">
        <v>61.26</v>
      </c>
      <c r="I480" s="8">
        <v>82</v>
      </c>
      <c r="J480" s="8"/>
    </row>
    <row r="481" spans="1:10">
      <c r="A481" s="6">
        <v>479</v>
      </c>
      <c r="B481" s="6" t="str">
        <f t="shared" si="10"/>
        <v>0103</v>
      </c>
      <c r="C481" s="6" t="s">
        <v>14</v>
      </c>
      <c r="D481" s="6" t="str">
        <f>"黄鑫"</f>
        <v>黄鑫</v>
      </c>
      <c r="E481" s="6" t="str">
        <f>"202409212227"</f>
        <v>202409212227</v>
      </c>
      <c r="F481" s="6" t="str">
        <f>"22"</f>
        <v>22</v>
      </c>
      <c r="G481" s="6" t="str">
        <f>"27"</f>
        <v>27</v>
      </c>
      <c r="H481" s="7">
        <v>61.1</v>
      </c>
      <c r="I481" s="8">
        <v>83</v>
      </c>
      <c r="J481" s="8"/>
    </row>
    <row r="482" spans="1:10">
      <c r="A482" s="6">
        <v>480</v>
      </c>
      <c r="B482" s="6" t="str">
        <f t="shared" si="10"/>
        <v>0103</v>
      </c>
      <c r="C482" s="6" t="s">
        <v>14</v>
      </c>
      <c r="D482" s="6" t="str">
        <f>"周启兰"</f>
        <v>周启兰</v>
      </c>
      <c r="E482" s="6" t="str">
        <f>"202409211826"</f>
        <v>202409211826</v>
      </c>
      <c r="F482" s="6" t="str">
        <f>"18"</f>
        <v>18</v>
      </c>
      <c r="G482" s="6" t="str">
        <f>"26"</f>
        <v>26</v>
      </c>
      <c r="H482" s="7">
        <v>61.01</v>
      </c>
      <c r="I482" s="8">
        <v>84</v>
      </c>
      <c r="J482" s="8"/>
    </row>
    <row r="483" spans="1:10">
      <c r="A483" s="6">
        <v>481</v>
      </c>
      <c r="B483" s="6" t="str">
        <f t="shared" si="10"/>
        <v>0103</v>
      </c>
      <c r="C483" s="6" t="s">
        <v>14</v>
      </c>
      <c r="D483" s="6" t="str">
        <f>"莫晔榕"</f>
        <v>莫晔榕</v>
      </c>
      <c r="E483" s="6" t="str">
        <f>"202409212105"</f>
        <v>202409212105</v>
      </c>
      <c r="F483" s="6" t="str">
        <f>"21"</f>
        <v>21</v>
      </c>
      <c r="G483" s="6" t="str">
        <f>"05"</f>
        <v>05</v>
      </c>
      <c r="H483" s="7">
        <v>60.94</v>
      </c>
      <c r="I483" s="8">
        <v>85</v>
      </c>
      <c r="J483" s="8"/>
    </row>
    <row r="484" spans="1:10">
      <c r="A484" s="6">
        <v>482</v>
      </c>
      <c r="B484" s="6" t="str">
        <f t="shared" si="10"/>
        <v>0103</v>
      </c>
      <c r="C484" s="6" t="s">
        <v>14</v>
      </c>
      <c r="D484" s="6" t="str">
        <f>"吴思宏"</f>
        <v>吴思宏</v>
      </c>
      <c r="E484" s="6" t="str">
        <f>"202409211714"</f>
        <v>202409211714</v>
      </c>
      <c r="F484" s="6" t="str">
        <f>"17"</f>
        <v>17</v>
      </c>
      <c r="G484" s="6" t="str">
        <f>"14"</f>
        <v>14</v>
      </c>
      <c r="H484" s="7">
        <v>60.83</v>
      </c>
      <c r="I484" s="8">
        <v>86</v>
      </c>
      <c r="J484" s="8"/>
    </row>
    <row r="485" spans="1:10">
      <c r="A485" s="6">
        <v>483</v>
      </c>
      <c r="B485" s="6" t="str">
        <f t="shared" si="10"/>
        <v>0103</v>
      </c>
      <c r="C485" s="6" t="s">
        <v>14</v>
      </c>
      <c r="D485" s="6" t="str">
        <f>"黄晓雅"</f>
        <v>黄晓雅</v>
      </c>
      <c r="E485" s="6" t="str">
        <f>"202409212001"</f>
        <v>202409212001</v>
      </c>
      <c r="F485" s="6" t="str">
        <f>"20"</f>
        <v>20</v>
      </c>
      <c r="G485" s="6" t="str">
        <f>"01"</f>
        <v>01</v>
      </c>
      <c r="H485" s="7">
        <v>60.77</v>
      </c>
      <c r="I485" s="8">
        <v>87</v>
      </c>
      <c r="J485" s="8"/>
    </row>
    <row r="486" spans="1:10">
      <c r="A486" s="6">
        <v>484</v>
      </c>
      <c r="B486" s="6" t="str">
        <f t="shared" si="10"/>
        <v>0103</v>
      </c>
      <c r="C486" s="6" t="s">
        <v>14</v>
      </c>
      <c r="D486" s="6" t="str">
        <f>"丁悦桢"</f>
        <v>丁悦桢</v>
      </c>
      <c r="E486" s="6" t="str">
        <f>"202409211418"</f>
        <v>202409211418</v>
      </c>
      <c r="F486" s="6" t="str">
        <f>"14"</f>
        <v>14</v>
      </c>
      <c r="G486" s="6" t="str">
        <f>"18"</f>
        <v>18</v>
      </c>
      <c r="H486" s="7">
        <v>60.75</v>
      </c>
      <c r="I486" s="8">
        <v>88</v>
      </c>
      <c r="J486" s="8"/>
    </row>
    <row r="487" spans="1:10">
      <c r="A487" s="6">
        <v>485</v>
      </c>
      <c r="B487" s="6" t="str">
        <f t="shared" si="10"/>
        <v>0103</v>
      </c>
      <c r="C487" s="6" t="s">
        <v>14</v>
      </c>
      <c r="D487" s="6" t="str">
        <f>"简丽"</f>
        <v>简丽</v>
      </c>
      <c r="E487" s="6" t="str">
        <f>"202409211814"</f>
        <v>202409211814</v>
      </c>
      <c r="F487" s="6" t="str">
        <f>"18"</f>
        <v>18</v>
      </c>
      <c r="G487" s="6" t="str">
        <f>"14"</f>
        <v>14</v>
      </c>
      <c r="H487" s="7">
        <v>60.71</v>
      </c>
      <c r="I487" s="8">
        <v>89</v>
      </c>
      <c r="J487" s="8"/>
    </row>
    <row r="488" spans="1:10">
      <c r="A488" s="6">
        <v>486</v>
      </c>
      <c r="B488" s="6" t="str">
        <f t="shared" si="10"/>
        <v>0103</v>
      </c>
      <c r="C488" s="6" t="s">
        <v>14</v>
      </c>
      <c r="D488" s="6" t="str">
        <f>"王光凤"</f>
        <v>王光凤</v>
      </c>
      <c r="E488" s="6" t="str">
        <f>"202409212322"</f>
        <v>202409212322</v>
      </c>
      <c r="F488" s="6" t="str">
        <f>"23"</f>
        <v>23</v>
      </c>
      <c r="G488" s="6" t="str">
        <f>"22"</f>
        <v>22</v>
      </c>
      <c r="H488" s="7">
        <v>60.7</v>
      </c>
      <c r="I488" s="8">
        <v>90</v>
      </c>
      <c r="J488" s="8"/>
    </row>
    <row r="489" spans="1:10">
      <c r="A489" s="6">
        <v>487</v>
      </c>
      <c r="B489" s="6" t="str">
        <f t="shared" si="10"/>
        <v>0103</v>
      </c>
      <c r="C489" s="6" t="s">
        <v>14</v>
      </c>
      <c r="D489" s="6" t="str">
        <f>"吴柏林"</f>
        <v>吴柏林</v>
      </c>
      <c r="E489" s="6" t="str">
        <f>"202409211913"</f>
        <v>202409211913</v>
      </c>
      <c r="F489" s="6" t="str">
        <f>"19"</f>
        <v>19</v>
      </c>
      <c r="G489" s="6" t="str">
        <f>"13"</f>
        <v>13</v>
      </c>
      <c r="H489" s="7">
        <v>60.58</v>
      </c>
      <c r="I489" s="8">
        <v>91</v>
      </c>
      <c r="J489" s="8"/>
    </row>
    <row r="490" spans="1:10">
      <c r="A490" s="6">
        <v>488</v>
      </c>
      <c r="B490" s="6" t="str">
        <f t="shared" si="10"/>
        <v>0103</v>
      </c>
      <c r="C490" s="6" t="s">
        <v>14</v>
      </c>
      <c r="D490" s="6" t="str">
        <f>"王千教"</f>
        <v>王千教</v>
      </c>
      <c r="E490" s="6" t="str">
        <f>"202409211605"</f>
        <v>202409211605</v>
      </c>
      <c r="F490" s="6" t="str">
        <f>"16"</f>
        <v>16</v>
      </c>
      <c r="G490" s="6" t="str">
        <f>"05"</f>
        <v>05</v>
      </c>
      <c r="H490" s="7">
        <v>60.56</v>
      </c>
      <c r="I490" s="8">
        <v>92</v>
      </c>
      <c r="J490" s="8"/>
    </row>
    <row r="491" spans="1:10">
      <c r="A491" s="6">
        <v>489</v>
      </c>
      <c r="B491" s="6" t="str">
        <f t="shared" si="10"/>
        <v>0103</v>
      </c>
      <c r="C491" s="6" t="s">
        <v>14</v>
      </c>
      <c r="D491" s="6" t="str">
        <f>"丁忆西"</f>
        <v>丁忆西</v>
      </c>
      <c r="E491" s="6" t="str">
        <f>"202409212006"</f>
        <v>202409212006</v>
      </c>
      <c r="F491" s="6" t="str">
        <f>"20"</f>
        <v>20</v>
      </c>
      <c r="G491" s="6" t="str">
        <f>"06"</f>
        <v>06</v>
      </c>
      <c r="H491" s="7">
        <v>60.55</v>
      </c>
      <c r="I491" s="8">
        <v>93</v>
      </c>
      <c r="J491" s="8"/>
    </row>
    <row r="492" spans="1:10">
      <c r="A492" s="6">
        <v>490</v>
      </c>
      <c r="B492" s="6" t="str">
        <f t="shared" si="10"/>
        <v>0103</v>
      </c>
      <c r="C492" s="6" t="s">
        <v>14</v>
      </c>
      <c r="D492" s="6" t="str">
        <f>"陈蕾"</f>
        <v>陈蕾</v>
      </c>
      <c r="E492" s="6" t="str">
        <f>"202409211719"</f>
        <v>202409211719</v>
      </c>
      <c r="F492" s="6" t="str">
        <f>"17"</f>
        <v>17</v>
      </c>
      <c r="G492" s="6" t="str">
        <f>"19"</f>
        <v>19</v>
      </c>
      <c r="H492" s="7">
        <v>60.44</v>
      </c>
      <c r="I492" s="8">
        <v>94</v>
      </c>
      <c r="J492" s="8"/>
    </row>
    <row r="493" spans="1:10">
      <c r="A493" s="6">
        <v>491</v>
      </c>
      <c r="B493" s="6" t="str">
        <f t="shared" si="10"/>
        <v>0103</v>
      </c>
      <c r="C493" s="6" t="s">
        <v>14</v>
      </c>
      <c r="D493" s="6" t="str">
        <f>"梅欣欣"</f>
        <v>梅欣欣</v>
      </c>
      <c r="E493" s="6" t="str">
        <f>"202409212107"</f>
        <v>202409212107</v>
      </c>
      <c r="F493" s="6" t="str">
        <f>"21"</f>
        <v>21</v>
      </c>
      <c r="G493" s="6" t="str">
        <f>"07"</f>
        <v>07</v>
      </c>
      <c r="H493" s="7">
        <v>60.23</v>
      </c>
      <c r="I493" s="8">
        <v>95</v>
      </c>
      <c r="J493" s="8"/>
    </row>
    <row r="494" spans="1:10">
      <c r="A494" s="6">
        <v>492</v>
      </c>
      <c r="B494" s="6" t="str">
        <f t="shared" si="10"/>
        <v>0103</v>
      </c>
      <c r="C494" s="6" t="s">
        <v>14</v>
      </c>
      <c r="D494" s="6" t="str">
        <f>"梁晓玲"</f>
        <v>梁晓玲</v>
      </c>
      <c r="E494" s="6" t="str">
        <f>"202409211423"</f>
        <v>202409211423</v>
      </c>
      <c r="F494" s="6" t="str">
        <f>"14"</f>
        <v>14</v>
      </c>
      <c r="G494" s="6" t="str">
        <f>"23"</f>
        <v>23</v>
      </c>
      <c r="H494" s="7">
        <v>60.21</v>
      </c>
      <c r="I494" s="8">
        <v>96</v>
      </c>
      <c r="J494" s="8"/>
    </row>
    <row r="495" spans="1:10">
      <c r="A495" s="6">
        <v>493</v>
      </c>
      <c r="B495" s="6" t="str">
        <f t="shared" si="10"/>
        <v>0103</v>
      </c>
      <c r="C495" s="6" t="s">
        <v>14</v>
      </c>
      <c r="D495" s="6" t="str">
        <f>"羊兴兰"</f>
        <v>羊兴兰</v>
      </c>
      <c r="E495" s="6" t="str">
        <f>"202409211806"</f>
        <v>202409211806</v>
      </c>
      <c r="F495" s="6" t="str">
        <f>"18"</f>
        <v>18</v>
      </c>
      <c r="G495" s="6" t="str">
        <f>"06"</f>
        <v>06</v>
      </c>
      <c r="H495" s="7">
        <v>60.13</v>
      </c>
      <c r="I495" s="8">
        <v>97</v>
      </c>
      <c r="J495" s="8"/>
    </row>
    <row r="496" spans="1:10">
      <c r="A496" s="6">
        <v>494</v>
      </c>
      <c r="B496" s="6" t="str">
        <f t="shared" si="10"/>
        <v>0103</v>
      </c>
      <c r="C496" s="6" t="s">
        <v>14</v>
      </c>
      <c r="D496" s="6" t="str">
        <f>"何靖昀"</f>
        <v>何靖昀</v>
      </c>
      <c r="E496" s="6" t="str">
        <f>"202409211717"</f>
        <v>202409211717</v>
      </c>
      <c r="F496" s="6" t="str">
        <f>"17"</f>
        <v>17</v>
      </c>
      <c r="G496" s="6" t="str">
        <f>"17"</f>
        <v>17</v>
      </c>
      <c r="H496" s="7">
        <v>60.06</v>
      </c>
      <c r="I496" s="8">
        <v>98</v>
      </c>
      <c r="J496" s="8"/>
    </row>
    <row r="497" spans="1:10">
      <c r="A497" s="6">
        <v>495</v>
      </c>
      <c r="B497" s="6" t="str">
        <f t="shared" si="10"/>
        <v>0103</v>
      </c>
      <c r="C497" s="6" t="s">
        <v>14</v>
      </c>
      <c r="D497" s="6" t="str">
        <f>"吴莉花"</f>
        <v>吴莉花</v>
      </c>
      <c r="E497" s="6" t="str">
        <f>"202409211616"</f>
        <v>202409211616</v>
      </c>
      <c r="F497" s="6" t="str">
        <f>"16"</f>
        <v>16</v>
      </c>
      <c r="G497" s="6" t="str">
        <f>"16"</f>
        <v>16</v>
      </c>
      <c r="H497" s="7">
        <v>60.01</v>
      </c>
      <c r="I497" s="8">
        <v>99</v>
      </c>
      <c r="J497" s="8"/>
    </row>
    <row r="498" spans="1:10">
      <c r="A498" s="6">
        <v>496</v>
      </c>
      <c r="B498" s="6" t="str">
        <f t="shared" si="10"/>
        <v>0103</v>
      </c>
      <c r="C498" s="6" t="s">
        <v>14</v>
      </c>
      <c r="D498" s="6" t="str">
        <f>"李金爱"</f>
        <v>李金爱</v>
      </c>
      <c r="E498" s="6" t="str">
        <f>"202409212103"</f>
        <v>202409212103</v>
      </c>
      <c r="F498" s="6" t="str">
        <f>"21"</f>
        <v>21</v>
      </c>
      <c r="G498" s="6" t="str">
        <f>"03"</f>
        <v>03</v>
      </c>
      <c r="H498" s="7">
        <v>60.01</v>
      </c>
      <c r="I498" s="8">
        <v>100</v>
      </c>
      <c r="J498" s="8"/>
    </row>
    <row r="499" spans="1:10">
      <c r="A499" s="6">
        <v>497</v>
      </c>
      <c r="B499" s="6" t="str">
        <f t="shared" si="10"/>
        <v>0103</v>
      </c>
      <c r="C499" s="6" t="s">
        <v>14</v>
      </c>
      <c r="D499" s="6" t="str">
        <f>"曾小灵"</f>
        <v>曾小灵</v>
      </c>
      <c r="E499" s="6" t="str">
        <f>"202409211428"</f>
        <v>202409211428</v>
      </c>
      <c r="F499" s="6" t="str">
        <f>"14"</f>
        <v>14</v>
      </c>
      <c r="G499" s="6" t="str">
        <f>"28"</f>
        <v>28</v>
      </c>
      <c r="H499" s="7">
        <v>60</v>
      </c>
      <c r="I499" s="8">
        <v>101</v>
      </c>
      <c r="J499" s="8"/>
    </row>
    <row r="500" spans="1:10">
      <c r="A500" s="6">
        <v>498</v>
      </c>
      <c r="B500" s="6" t="str">
        <f t="shared" si="10"/>
        <v>0103</v>
      </c>
      <c r="C500" s="6" t="s">
        <v>14</v>
      </c>
      <c r="D500" s="6" t="str">
        <f>"张玲"</f>
        <v>张玲</v>
      </c>
      <c r="E500" s="6" t="str">
        <f>"202409212325"</f>
        <v>202409212325</v>
      </c>
      <c r="F500" s="6" t="str">
        <f>"23"</f>
        <v>23</v>
      </c>
      <c r="G500" s="6" t="str">
        <f>"25"</f>
        <v>25</v>
      </c>
      <c r="H500" s="7">
        <v>59.92</v>
      </c>
      <c r="I500" s="8">
        <v>102</v>
      </c>
      <c r="J500" s="8"/>
    </row>
    <row r="501" spans="1:10">
      <c r="A501" s="6">
        <v>499</v>
      </c>
      <c r="B501" s="6" t="str">
        <f t="shared" si="10"/>
        <v>0103</v>
      </c>
      <c r="C501" s="6" t="s">
        <v>14</v>
      </c>
      <c r="D501" s="6" t="str">
        <f>"郑庆美"</f>
        <v>郑庆美</v>
      </c>
      <c r="E501" s="6" t="str">
        <f>"202409211416"</f>
        <v>202409211416</v>
      </c>
      <c r="F501" s="6" t="str">
        <f>"14"</f>
        <v>14</v>
      </c>
      <c r="G501" s="6" t="str">
        <f>"16"</f>
        <v>16</v>
      </c>
      <c r="H501" s="7">
        <v>59.84</v>
      </c>
      <c r="I501" s="8">
        <v>103</v>
      </c>
      <c r="J501" s="8"/>
    </row>
    <row r="502" spans="1:10">
      <c r="A502" s="6">
        <v>500</v>
      </c>
      <c r="B502" s="6" t="str">
        <f t="shared" si="10"/>
        <v>0103</v>
      </c>
      <c r="C502" s="6" t="s">
        <v>14</v>
      </c>
      <c r="D502" s="6" t="str">
        <f>"吉财丽"</f>
        <v>吉财丽</v>
      </c>
      <c r="E502" s="6" t="str">
        <f>"202409211704"</f>
        <v>202409211704</v>
      </c>
      <c r="F502" s="6" t="str">
        <f>"17"</f>
        <v>17</v>
      </c>
      <c r="G502" s="6" t="str">
        <f>"04"</f>
        <v>04</v>
      </c>
      <c r="H502" s="7">
        <v>59.81</v>
      </c>
      <c r="I502" s="8">
        <v>104</v>
      </c>
      <c r="J502" s="8"/>
    </row>
    <row r="503" spans="1:10">
      <c r="A503" s="6">
        <v>501</v>
      </c>
      <c r="B503" s="6" t="str">
        <f t="shared" si="10"/>
        <v>0103</v>
      </c>
      <c r="C503" s="6" t="s">
        <v>14</v>
      </c>
      <c r="D503" s="6" t="str">
        <f>"董佳佳"</f>
        <v>董佳佳</v>
      </c>
      <c r="E503" s="6" t="str">
        <f>"202409211710"</f>
        <v>202409211710</v>
      </c>
      <c r="F503" s="6" t="str">
        <f>"17"</f>
        <v>17</v>
      </c>
      <c r="G503" s="6" t="str">
        <f>"10"</f>
        <v>10</v>
      </c>
      <c r="H503" s="7">
        <v>59.79</v>
      </c>
      <c r="I503" s="8">
        <v>105</v>
      </c>
      <c r="J503" s="8"/>
    </row>
    <row r="504" spans="1:10">
      <c r="A504" s="6">
        <v>502</v>
      </c>
      <c r="B504" s="6" t="str">
        <f t="shared" si="10"/>
        <v>0103</v>
      </c>
      <c r="C504" s="6" t="s">
        <v>14</v>
      </c>
      <c r="D504" s="6" t="str">
        <f>"王慧娇"</f>
        <v>王慧娇</v>
      </c>
      <c r="E504" s="6" t="str">
        <f>"202409211903"</f>
        <v>202409211903</v>
      </c>
      <c r="F504" s="6" t="str">
        <f>"19"</f>
        <v>19</v>
      </c>
      <c r="G504" s="6" t="str">
        <f>"03"</f>
        <v>03</v>
      </c>
      <c r="H504" s="7">
        <v>59.77</v>
      </c>
      <c r="I504" s="8">
        <v>106</v>
      </c>
      <c r="J504" s="8"/>
    </row>
    <row r="505" spans="1:10">
      <c r="A505" s="6">
        <v>503</v>
      </c>
      <c r="B505" s="6" t="str">
        <f t="shared" si="10"/>
        <v>0103</v>
      </c>
      <c r="C505" s="6" t="s">
        <v>14</v>
      </c>
      <c r="D505" s="6" t="str">
        <f>"邢增瑜"</f>
        <v>邢增瑜</v>
      </c>
      <c r="E505" s="6" t="str">
        <f>"202409212130"</f>
        <v>202409212130</v>
      </c>
      <c r="F505" s="6" t="str">
        <f>"21"</f>
        <v>21</v>
      </c>
      <c r="G505" s="6" t="str">
        <f>"30"</f>
        <v>30</v>
      </c>
      <c r="H505" s="7">
        <v>59.65</v>
      </c>
      <c r="I505" s="8">
        <v>107</v>
      </c>
      <c r="J505" s="8"/>
    </row>
    <row r="506" spans="1:10">
      <c r="A506" s="6">
        <v>504</v>
      </c>
      <c r="B506" s="6" t="str">
        <f t="shared" si="10"/>
        <v>0103</v>
      </c>
      <c r="C506" s="6" t="s">
        <v>14</v>
      </c>
      <c r="D506" s="6" t="str">
        <f>"符禧珍"</f>
        <v>符禧珍</v>
      </c>
      <c r="E506" s="6" t="str">
        <f>"202409211525"</f>
        <v>202409211525</v>
      </c>
      <c r="F506" s="6" t="str">
        <f>"15"</f>
        <v>15</v>
      </c>
      <c r="G506" s="6" t="str">
        <f>"25"</f>
        <v>25</v>
      </c>
      <c r="H506" s="7">
        <v>59.61</v>
      </c>
      <c r="I506" s="8">
        <v>108</v>
      </c>
      <c r="J506" s="8"/>
    </row>
    <row r="507" spans="1:10">
      <c r="A507" s="6">
        <v>505</v>
      </c>
      <c r="B507" s="6" t="str">
        <f t="shared" si="10"/>
        <v>0103</v>
      </c>
      <c r="C507" s="6" t="s">
        <v>14</v>
      </c>
      <c r="D507" s="6" t="str">
        <f>"黄清秋"</f>
        <v>黄清秋</v>
      </c>
      <c r="E507" s="6" t="str">
        <f>"202409212220"</f>
        <v>202409212220</v>
      </c>
      <c r="F507" s="6" t="str">
        <f>"22"</f>
        <v>22</v>
      </c>
      <c r="G507" s="6" t="str">
        <f>"20"</f>
        <v>20</v>
      </c>
      <c r="H507" s="7">
        <v>59.58</v>
      </c>
      <c r="I507" s="8">
        <v>109</v>
      </c>
      <c r="J507" s="8"/>
    </row>
    <row r="508" spans="1:10">
      <c r="A508" s="6">
        <v>506</v>
      </c>
      <c r="B508" s="6" t="str">
        <f t="shared" si="10"/>
        <v>0103</v>
      </c>
      <c r="C508" s="6" t="s">
        <v>14</v>
      </c>
      <c r="D508" s="6" t="str">
        <f>"黄海霞"</f>
        <v>黄海霞</v>
      </c>
      <c r="E508" s="6" t="str">
        <f>"202409212313"</f>
        <v>202409212313</v>
      </c>
      <c r="F508" s="6" t="str">
        <f>"23"</f>
        <v>23</v>
      </c>
      <c r="G508" s="6" t="str">
        <f>"13"</f>
        <v>13</v>
      </c>
      <c r="H508" s="7">
        <v>59.57</v>
      </c>
      <c r="I508" s="8">
        <v>110</v>
      </c>
      <c r="J508" s="8"/>
    </row>
    <row r="509" spans="1:10">
      <c r="A509" s="6">
        <v>507</v>
      </c>
      <c r="B509" s="6" t="str">
        <f t="shared" si="10"/>
        <v>0103</v>
      </c>
      <c r="C509" s="6" t="s">
        <v>14</v>
      </c>
      <c r="D509" s="6" t="str">
        <f>"陈扬柳"</f>
        <v>陈扬柳</v>
      </c>
      <c r="E509" s="6" t="str">
        <f>"202409211917"</f>
        <v>202409211917</v>
      </c>
      <c r="F509" s="6" t="str">
        <f>"19"</f>
        <v>19</v>
      </c>
      <c r="G509" s="6" t="str">
        <f>"17"</f>
        <v>17</v>
      </c>
      <c r="H509" s="7">
        <v>59.51</v>
      </c>
      <c r="I509" s="8">
        <v>111</v>
      </c>
      <c r="J509" s="8"/>
    </row>
    <row r="510" spans="1:10">
      <c r="A510" s="6">
        <v>508</v>
      </c>
      <c r="B510" s="6" t="str">
        <f t="shared" si="10"/>
        <v>0103</v>
      </c>
      <c r="C510" s="6" t="s">
        <v>14</v>
      </c>
      <c r="D510" s="6" t="str">
        <f>"陈思颖"</f>
        <v>陈思颖</v>
      </c>
      <c r="E510" s="6" t="str">
        <f>"202409211729"</f>
        <v>202409211729</v>
      </c>
      <c r="F510" s="6" t="str">
        <f>"17"</f>
        <v>17</v>
      </c>
      <c r="G510" s="6" t="str">
        <f>"29"</f>
        <v>29</v>
      </c>
      <c r="H510" s="7">
        <v>59.45</v>
      </c>
      <c r="I510" s="8">
        <v>112</v>
      </c>
      <c r="J510" s="8"/>
    </row>
    <row r="511" spans="1:10">
      <c r="A511" s="6">
        <v>509</v>
      </c>
      <c r="B511" s="6" t="str">
        <f t="shared" si="10"/>
        <v>0103</v>
      </c>
      <c r="C511" s="6" t="s">
        <v>14</v>
      </c>
      <c r="D511" s="6" t="str">
        <f>"金玉荣"</f>
        <v>金玉荣</v>
      </c>
      <c r="E511" s="6" t="str">
        <f>"202409211828"</f>
        <v>202409211828</v>
      </c>
      <c r="F511" s="6" t="str">
        <f>"18"</f>
        <v>18</v>
      </c>
      <c r="G511" s="6" t="str">
        <f>"28"</f>
        <v>28</v>
      </c>
      <c r="H511" s="7">
        <v>59.33</v>
      </c>
      <c r="I511" s="8">
        <v>113</v>
      </c>
      <c r="J511" s="8"/>
    </row>
    <row r="512" spans="1:10">
      <c r="A512" s="6">
        <v>510</v>
      </c>
      <c r="B512" s="6" t="str">
        <f t="shared" si="10"/>
        <v>0103</v>
      </c>
      <c r="C512" s="6" t="s">
        <v>14</v>
      </c>
      <c r="D512" s="6" t="str">
        <f>"方惠雪"</f>
        <v>方惠雪</v>
      </c>
      <c r="E512" s="6" t="str">
        <f>"202409211901"</f>
        <v>202409211901</v>
      </c>
      <c r="F512" s="6" t="str">
        <f>"19"</f>
        <v>19</v>
      </c>
      <c r="G512" s="6" t="str">
        <f>"01"</f>
        <v>01</v>
      </c>
      <c r="H512" s="7">
        <v>59.33</v>
      </c>
      <c r="I512" s="8">
        <v>114</v>
      </c>
      <c r="J512" s="8"/>
    </row>
    <row r="513" spans="1:10">
      <c r="A513" s="6">
        <v>511</v>
      </c>
      <c r="B513" s="6" t="str">
        <f t="shared" si="10"/>
        <v>0103</v>
      </c>
      <c r="C513" s="6" t="s">
        <v>14</v>
      </c>
      <c r="D513" s="6" t="str">
        <f>"容孝婷"</f>
        <v>容孝婷</v>
      </c>
      <c r="E513" s="6" t="str">
        <f>"202409211825"</f>
        <v>202409211825</v>
      </c>
      <c r="F513" s="6" t="str">
        <f>"18"</f>
        <v>18</v>
      </c>
      <c r="G513" s="6" t="str">
        <f>"25"</f>
        <v>25</v>
      </c>
      <c r="H513" s="7">
        <v>59.29</v>
      </c>
      <c r="I513" s="8">
        <v>115</v>
      </c>
      <c r="J513" s="8"/>
    </row>
    <row r="514" spans="1:10">
      <c r="A514" s="6">
        <v>512</v>
      </c>
      <c r="B514" s="6" t="str">
        <f t="shared" si="10"/>
        <v>0103</v>
      </c>
      <c r="C514" s="6" t="s">
        <v>14</v>
      </c>
      <c r="D514" s="6" t="str">
        <f>"冯忠玉"</f>
        <v>冯忠玉</v>
      </c>
      <c r="E514" s="6" t="str">
        <f>"202409211723"</f>
        <v>202409211723</v>
      </c>
      <c r="F514" s="6" t="str">
        <f>"17"</f>
        <v>17</v>
      </c>
      <c r="G514" s="6" t="str">
        <f>"23"</f>
        <v>23</v>
      </c>
      <c r="H514" s="7">
        <v>59.24</v>
      </c>
      <c r="I514" s="8">
        <v>116</v>
      </c>
      <c r="J514" s="8"/>
    </row>
    <row r="515" spans="1:10">
      <c r="A515" s="6">
        <v>513</v>
      </c>
      <c r="B515" s="6" t="str">
        <f t="shared" si="10"/>
        <v>0103</v>
      </c>
      <c r="C515" s="6" t="s">
        <v>14</v>
      </c>
      <c r="D515" s="6" t="str">
        <f>"蔡倩"</f>
        <v>蔡倩</v>
      </c>
      <c r="E515" s="6" t="str">
        <f>"202409211928"</f>
        <v>202409211928</v>
      </c>
      <c r="F515" s="6" t="str">
        <f>"19"</f>
        <v>19</v>
      </c>
      <c r="G515" s="6" t="str">
        <f>"28"</f>
        <v>28</v>
      </c>
      <c r="H515" s="7">
        <v>59.09</v>
      </c>
      <c r="I515" s="8">
        <v>117</v>
      </c>
      <c r="J515" s="8"/>
    </row>
    <row r="516" spans="1:10">
      <c r="A516" s="6">
        <v>514</v>
      </c>
      <c r="B516" s="6" t="str">
        <f t="shared" si="10"/>
        <v>0103</v>
      </c>
      <c r="C516" s="6" t="s">
        <v>14</v>
      </c>
      <c r="D516" s="6" t="str">
        <f>"张德蕊"</f>
        <v>张德蕊</v>
      </c>
      <c r="E516" s="6" t="str">
        <f>"202409212214"</f>
        <v>202409212214</v>
      </c>
      <c r="F516" s="6" t="str">
        <f>"22"</f>
        <v>22</v>
      </c>
      <c r="G516" s="6" t="str">
        <f>"14"</f>
        <v>14</v>
      </c>
      <c r="H516" s="7">
        <v>59.06</v>
      </c>
      <c r="I516" s="8">
        <v>118</v>
      </c>
      <c r="J516" s="8"/>
    </row>
    <row r="517" spans="1:10">
      <c r="A517" s="6">
        <v>515</v>
      </c>
      <c r="B517" s="6" t="str">
        <f t="shared" si="10"/>
        <v>0103</v>
      </c>
      <c r="C517" s="6" t="s">
        <v>14</v>
      </c>
      <c r="D517" s="6" t="str">
        <f>"符长丹"</f>
        <v>符长丹</v>
      </c>
      <c r="E517" s="6" t="str">
        <f>"202409212004"</f>
        <v>202409212004</v>
      </c>
      <c r="F517" s="6" t="str">
        <f>"20"</f>
        <v>20</v>
      </c>
      <c r="G517" s="6" t="str">
        <f>"04"</f>
        <v>04</v>
      </c>
      <c r="H517" s="7">
        <v>58.92</v>
      </c>
      <c r="I517" s="8">
        <v>119</v>
      </c>
      <c r="J517" s="8"/>
    </row>
    <row r="518" spans="1:10">
      <c r="A518" s="6">
        <v>516</v>
      </c>
      <c r="B518" s="6" t="str">
        <f t="shared" si="10"/>
        <v>0103</v>
      </c>
      <c r="C518" s="6" t="s">
        <v>14</v>
      </c>
      <c r="D518" s="6" t="str">
        <f>"于洪跃"</f>
        <v>于洪跃</v>
      </c>
      <c r="E518" s="6" t="str">
        <f>"202409212309"</f>
        <v>202409212309</v>
      </c>
      <c r="F518" s="6" t="str">
        <f>"23"</f>
        <v>23</v>
      </c>
      <c r="G518" s="6" t="str">
        <f>"09"</f>
        <v>09</v>
      </c>
      <c r="H518" s="7">
        <v>58.69</v>
      </c>
      <c r="I518" s="8">
        <v>120</v>
      </c>
      <c r="J518" s="8"/>
    </row>
    <row r="519" spans="1:10">
      <c r="A519" s="6">
        <v>517</v>
      </c>
      <c r="B519" s="6" t="str">
        <f t="shared" si="10"/>
        <v>0103</v>
      </c>
      <c r="C519" s="6" t="s">
        <v>14</v>
      </c>
      <c r="D519" s="6" t="str">
        <f>"许丽萍"</f>
        <v>许丽萍</v>
      </c>
      <c r="E519" s="6" t="str">
        <f>"202409211414"</f>
        <v>202409211414</v>
      </c>
      <c r="F519" s="6" t="str">
        <f>"14"</f>
        <v>14</v>
      </c>
      <c r="G519" s="6" t="str">
        <f>"14"</f>
        <v>14</v>
      </c>
      <c r="H519" s="7">
        <v>58.61</v>
      </c>
      <c r="I519" s="8">
        <v>121</v>
      </c>
      <c r="J519" s="8"/>
    </row>
    <row r="520" spans="1:10">
      <c r="A520" s="6">
        <v>518</v>
      </c>
      <c r="B520" s="6" t="str">
        <f t="shared" si="10"/>
        <v>0103</v>
      </c>
      <c r="C520" s="6" t="s">
        <v>14</v>
      </c>
      <c r="D520" s="6" t="str">
        <f>"吴贞甜"</f>
        <v>吴贞甜</v>
      </c>
      <c r="E520" s="6" t="str">
        <f>"202409212008"</f>
        <v>202409212008</v>
      </c>
      <c r="F520" s="6" t="str">
        <f>"20"</f>
        <v>20</v>
      </c>
      <c r="G520" s="6" t="str">
        <f>"08"</f>
        <v>08</v>
      </c>
      <c r="H520" s="7">
        <v>58.4</v>
      </c>
      <c r="I520" s="8">
        <v>122</v>
      </c>
      <c r="J520" s="8"/>
    </row>
    <row r="521" spans="1:10">
      <c r="A521" s="6">
        <v>519</v>
      </c>
      <c r="B521" s="6" t="str">
        <f t="shared" si="10"/>
        <v>0103</v>
      </c>
      <c r="C521" s="6" t="s">
        <v>14</v>
      </c>
      <c r="D521" s="6" t="str">
        <f>"符方妮"</f>
        <v>符方妮</v>
      </c>
      <c r="E521" s="6" t="str">
        <f>"202409211427"</f>
        <v>202409211427</v>
      </c>
      <c r="F521" s="6" t="str">
        <f>"14"</f>
        <v>14</v>
      </c>
      <c r="G521" s="6" t="str">
        <f>"27"</f>
        <v>27</v>
      </c>
      <c r="H521" s="7">
        <v>58.34</v>
      </c>
      <c r="I521" s="8">
        <v>123</v>
      </c>
      <c r="J521" s="8"/>
    </row>
    <row r="522" spans="1:10">
      <c r="A522" s="6">
        <v>520</v>
      </c>
      <c r="B522" s="6" t="str">
        <f t="shared" si="10"/>
        <v>0103</v>
      </c>
      <c r="C522" s="6" t="s">
        <v>14</v>
      </c>
      <c r="D522" s="6" t="str">
        <f>"王友瑜"</f>
        <v>王友瑜</v>
      </c>
      <c r="E522" s="6" t="str">
        <f>"202409211530"</f>
        <v>202409211530</v>
      </c>
      <c r="F522" s="6" t="str">
        <f>"15"</f>
        <v>15</v>
      </c>
      <c r="G522" s="6" t="str">
        <f>"30"</f>
        <v>30</v>
      </c>
      <c r="H522" s="7">
        <v>58.26</v>
      </c>
      <c r="I522" s="8">
        <v>124</v>
      </c>
      <c r="J522" s="8"/>
    </row>
    <row r="523" spans="1:10">
      <c r="A523" s="6">
        <v>521</v>
      </c>
      <c r="B523" s="6" t="str">
        <f t="shared" si="10"/>
        <v>0103</v>
      </c>
      <c r="C523" s="6" t="s">
        <v>14</v>
      </c>
      <c r="D523" s="6" t="str">
        <f>"苏丽燕"</f>
        <v>苏丽燕</v>
      </c>
      <c r="E523" s="6" t="str">
        <f>"202409212009"</f>
        <v>202409212009</v>
      </c>
      <c r="F523" s="6" t="str">
        <f>"20"</f>
        <v>20</v>
      </c>
      <c r="G523" s="6" t="str">
        <f>"09"</f>
        <v>09</v>
      </c>
      <c r="H523" s="7">
        <v>58.1</v>
      </c>
      <c r="I523" s="8">
        <v>125</v>
      </c>
      <c r="J523" s="8"/>
    </row>
    <row r="524" spans="1:10">
      <c r="A524" s="6">
        <v>522</v>
      </c>
      <c r="B524" s="6" t="str">
        <f t="shared" si="10"/>
        <v>0103</v>
      </c>
      <c r="C524" s="6" t="s">
        <v>14</v>
      </c>
      <c r="D524" s="6" t="str">
        <f>"钟彩雯"</f>
        <v>钟彩雯</v>
      </c>
      <c r="E524" s="6" t="str">
        <f>"202409212124"</f>
        <v>202409212124</v>
      </c>
      <c r="F524" s="6" t="str">
        <f>"21"</f>
        <v>21</v>
      </c>
      <c r="G524" s="6" t="str">
        <f>"24"</f>
        <v>24</v>
      </c>
      <c r="H524" s="7">
        <v>58.09</v>
      </c>
      <c r="I524" s="8">
        <v>126</v>
      </c>
      <c r="J524" s="8"/>
    </row>
    <row r="525" spans="1:10">
      <c r="A525" s="6">
        <v>523</v>
      </c>
      <c r="B525" s="6" t="str">
        <f t="shared" si="10"/>
        <v>0103</v>
      </c>
      <c r="C525" s="6" t="s">
        <v>14</v>
      </c>
      <c r="D525" s="6" t="str">
        <f>"周小妮"</f>
        <v>周小妮</v>
      </c>
      <c r="E525" s="6" t="str">
        <f>"202409211820"</f>
        <v>202409211820</v>
      </c>
      <c r="F525" s="6" t="str">
        <f>"18"</f>
        <v>18</v>
      </c>
      <c r="G525" s="6" t="str">
        <f>"20"</f>
        <v>20</v>
      </c>
      <c r="H525" s="7">
        <v>58.07</v>
      </c>
      <c r="I525" s="8">
        <v>127</v>
      </c>
      <c r="J525" s="8"/>
    </row>
    <row r="526" spans="1:10">
      <c r="A526" s="6">
        <v>524</v>
      </c>
      <c r="B526" s="6" t="str">
        <f t="shared" si="10"/>
        <v>0103</v>
      </c>
      <c r="C526" s="6" t="s">
        <v>14</v>
      </c>
      <c r="D526" s="6" t="str">
        <f>"彭玲"</f>
        <v>彭玲</v>
      </c>
      <c r="E526" s="6" t="str">
        <f>"202409212315"</f>
        <v>202409212315</v>
      </c>
      <c r="F526" s="6" t="str">
        <f>"23"</f>
        <v>23</v>
      </c>
      <c r="G526" s="6" t="str">
        <f>"15"</f>
        <v>15</v>
      </c>
      <c r="H526" s="7">
        <v>57.97</v>
      </c>
      <c r="I526" s="8">
        <v>128</v>
      </c>
      <c r="J526" s="8"/>
    </row>
    <row r="527" spans="1:10">
      <c r="A527" s="6">
        <v>525</v>
      </c>
      <c r="B527" s="6" t="str">
        <f t="shared" ref="B527:B590" si="11">"0103"</f>
        <v>0103</v>
      </c>
      <c r="C527" s="6" t="s">
        <v>14</v>
      </c>
      <c r="D527" s="6" t="str">
        <f>"陈丹"</f>
        <v>陈丹</v>
      </c>
      <c r="E527" s="6" t="str">
        <f>"202409211724"</f>
        <v>202409211724</v>
      </c>
      <c r="F527" s="6" t="str">
        <f>"17"</f>
        <v>17</v>
      </c>
      <c r="G527" s="6" t="str">
        <f>"24"</f>
        <v>24</v>
      </c>
      <c r="H527" s="7">
        <v>57.92</v>
      </c>
      <c r="I527" s="8">
        <v>129</v>
      </c>
      <c r="J527" s="8"/>
    </row>
    <row r="528" spans="1:10">
      <c r="A528" s="6">
        <v>526</v>
      </c>
      <c r="B528" s="6" t="str">
        <f t="shared" si="11"/>
        <v>0103</v>
      </c>
      <c r="C528" s="6" t="s">
        <v>14</v>
      </c>
      <c r="D528" s="6" t="str">
        <f>"陈秋菊"</f>
        <v>陈秋菊</v>
      </c>
      <c r="E528" s="6" t="str">
        <f>"202409212303"</f>
        <v>202409212303</v>
      </c>
      <c r="F528" s="6" t="str">
        <f>"23"</f>
        <v>23</v>
      </c>
      <c r="G528" s="6" t="str">
        <f>"03"</f>
        <v>03</v>
      </c>
      <c r="H528" s="7">
        <v>57.66</v>
      </c>
      <c r="I528" s="8">
        <v>130</v>
      </c>
      <c r="J528" s="8"/>
    </row>
    <row r="529" spans="1:10">
      <c r="A529" s="6">
        <v>527</v>
      </c>
      <c r="B529" s="6" t="str">
        <f t="shared" si="11"/>
        <v>0103</v>
      </c>
      <c r="C529" s="6" t="s">
        <v>14</v>
      </c>
      <c r="D529" s="6" t="str">
        <f>"杨若兰"</f>
        <v>杨若兰</v>
      </c>
      <c r="E529" s="6" t="str">
        <f>"202409211916"</f>
        <v>202409211916</v>
      </c>
      <c r="F529" s="6" t="str">
        <f>"19"</f>
        <v>19</v>
      </c>
      <c r="G529" s="6" t="str">
        <f>"16"</f>
        <v>16</v>
      </c>
      <c r="H529" s="7">
        <v>57.28</v>
      </c>
      <c r="I529" s="8">
        <v>131</v>
      </c>
      <c r="J529" s="8"/>
    </row>
    <row r="530" spans="1:10">
      <c r="A530" s="6">
        <v>528</v>
      </c>
      <c r="B530" s="6" t="str">
        <f t="shared" si="11"/>
        <v>0103</v>
      </c>
      <c r="C530" s="6" t="s">
        <v>14</v>
      </c>
      <c r="D530" s="6" t="str">
        <f>"曾春桃"</f>
        <v>曾春桃</v>
      </c>
      <c r="E530" s="6" t="str">
        <f>"202409211801"</f>
        <v>202409211801</v>
      </c>
      <c r="F530" s="6" t="str">
        <f>"18"</f>
        <v>18</v>
      </c>
      <c r="G530" s="6" t="str">
        <f>"01"</f>
        <v>01</v>
      </c>
      <c r="H530" s="7">
        <v>57.19</v>
      </c>
      <c r="I530" s="8">
        <v>132</v>
      </c>
      <c r="J530" s="8"/>
    </row>
    <row r="531" spans="1:10">
      <c r="A531" s="6">
        <v>529</v>
      </c>
      <c r="B531" s="6" t="str">
        <f t="shared" si="11"/>
        <v>0103</v>
      </c>
      <c r="C531" s="6" t="s">
        <v>14</v>
      </c>
      <c r="D531" s="6" t="str">
        <f>"邢慧整"</f>
        <v>邢慧整</v>
      </c>
      <c r="E531" s="6" t="str">
        <f>"202409211921"</f>
        <v>202409211921</v>
      </c>
      <c r="F531" s="6" t="str">
        <f>"19"</f>
        <v>19</v>
      </c>
      <c r="G531" s="6" t="str">
        <f>"21"</f>
        <v>21</v>
      </c>
      <c r="H531" s="7">
        <v>57.17</v>
      </c>
      <c r="I531" s="8">
        <v>133</v>
      </c>
      <c r="J531" s="8"/>
    </row>
    <row r="532" spans="1:10">
      <c r="A532" s="6">
        <v>530</v>
      </c>
      <c r="B532" s="6" t="str">
        <f t="shared" si="11"/>
        <v>0103</v>
      </c>
      <c r="C532" s="6" t="s">
        <v>14</v>
      </c>
      <c r="D532" s="6" t="str">
        <f>"王萍"</f>
        <v>王萍</v>
      </c>
      <c r="E532" s="6" t="str">
        <f>"202409211504"</f>
        <v>202409211504</v>
      </c>
      <c r="F532" s="6" t="str">
        <f>"15"</f>
        <v>15</v>
      </c>
      <c r="G532" s="6" t="str">
        <f>"04"</f>
        <v>04</v>
      </c>
      <c r="H532" s="7">
        <v>57.14</v>
      </c>
      <c r="I532" s="8">
        <v>134</v>
      </c>
      <c r="J532" s="8"/>
    </row>
    <row r="533" spans="1:10">
      <c r="A533" s="6">
        <v>531</v>
      </c>
      <c r="B533" s="6" t="str">
        <f t="shared" si="11"/>
        <v>0103</v>
      </c>
      <c r="C533" s="6" t="s">
        <v>14</v>
      </c>
      <c r="D533" s="6" t="str">
        <f>"蒋少霞"</f>
        <v>蒋少霞</v>
      </c>
      <c r="E533" s="6" t="str">
        <f>"202409212109"</f>
        <v>202409212109</v>
      </c>
      <c r="F533" s="6" t="str">
        <f>"21"</f>
        <v>21</v>
      </c>
      <c r="G533" s="6" t="str">
        <f>"09"</f>
        <v>09</v>
      </c>
      <c r="H533" s="7">
        <v>57.05</v>
      </c>
      <c r="I533" s="8">
        <v>135</v>
      </c>
      <c r="J533" s="8"/>
    </row>
    <row r="534" spans="1:10">
      <c r="A534" s="6">
        <v>532</v>
      </c>
      <c r="B534" s="6" t="str">
        <f t="shared" si="11"/>
        <v>0103</v>
      </c>
      <c r="C534" s="6" t="s">
        <v>14</v>
      </c>
      <c r="D534" s="6" t="str">
        <f>"陈文艳"</f>
        <v>陈文艳</v>
      </c>
      <c r="E534" s="6" t="str">
        <f>"202409211408"</f>
        <v>202409211408</v>
      </c>
      <c r="F534" s="6" t="str">
        <f>"14"</f>
        <v>14</v>
      </c>
      <c r="G534" s="6" t="str">
        <f>"08"</f>
        <v>08</v>
      </c>
      <c r="H534" s="7">
        <v>57.02</v>
      </c>
      <c r="I534" s="8">
        <v>136</v>
      </c>
      <c r="J534" s="8"/>
    </row>
    <row r="535" spans="1:10">
      <c r="A535" s="6">
        <v>533</v>
      </c>
      <c r="B535" s="6" t="str">
        <f t="shared" si="11"/>
        <v>0103</v>
      </c>
      <c r="C535" s="6" t="s">
        <v>14</v>
      </c>
      <c r="D535" s="6" t="str">
        <f>"冯嫦贺"</f>
        <v>冯嫦贺</v>
      </c>
      <c r="E535" s="6" t="str">
        <f>"202409211622"</f>
        <v>202409211622</v>
      </c>
      <c r="F535" s="6" t="str">
        <f>"16"</f>
        <v>16</v>
      </c>
      <c r="G535" s="6" t="str">
        <f>"22"</f>
        <v>22</v>
      </c>
      <c r="H535" s="7">
        <v>56.86</v>
      </c>
      <c r="I535" s="8">
        <v>137</v>
      </c>
      <c r="J535" s="8"/>
    </row>
    <row r="536" spans="1:10">
      <c r="A536" s="6">
        <v>534</v>
      </c>
      <c r="B536" s="6" t="str">
        <f t="shared" si="11"/>
        <v>0103</v>
      </c>
      <c r="C536" s="6" t="s">
        <v>14</v>
      </c>
      <c r="D536" s="6" t="str">
        <f>"朱丹芳"</f>
        <v>朱丹芳</v>
      </c>
      <c r="E536" s="6" t="str">
        <f>"202409211628"</f>
        <v>202409211628</v>
      </c>
      <c r="F536" s="6" t="str">
        <f>"16"</f>
        <v>16</v>
      </c>
      <c r="G536" s="6" t="str">
        <f>"28"</f>
        <v>28</v>
      </c>
      <c r="H536" s="7">
        <v>56.82</v>
      </c>
      <c r="I536" s="8">
        <v>138</v>
      </c>
      <c r="J536" s="8"/>
    </row>
    <row r="537" spans="1:10">
      <c r="A537" s="6">
        <v>535</v>
      </c>
      <c r="B537" s="6" t="str">
        <f t="shared" si="11"/>
        <v>0103</v>
      </c>
      <c r="C537" s="6" t="s">
        <v>14</v>
      </c>
      <c r="D537" s="6" t="str">
        <f>"吴海荣"</f>
        <v>吴海荣</v>
      </c>
      <c r="E537" s="6" t="str">
        <f>"202409212007"</f>
        <v>202409212007</v>
      </c>
      <c r="F537" s="6" t="str">
        <f>"20"</f>
        <v>20</v>
      </c>
      <c r="G537" s="6" t="str">
        <f>"07"</f>
        <v>07</v>
      </c>
      <c r="H537" s="7">
        <v>56.64</v>
      </c>
      <c r="I537" s="8">
        <v>139</v>
      </c>
      <c r="J537" s="8"/>
    </row>
    <row r="538" spans="1:10">
      <c r="A538" s="6">
        <v>536</v>
      </c>
      <c r="B538" s="6" t="str">
        <f t="shared" si="11"/>
        <v>0103</v>
      </c>
      <c r="C538" s="6" t="s">
        <v>14</v>
      </c>
      <c r="D538" s="6" t="str">
        <f>"郭琤瑜"</f>
        <v>郭琤瑜</v>
      </c>
      <c r="E538" s="6" t="str">
        <f>"202409211513"</f>
        <v>202409211513</v>
      </c>
      <c r="F538" s="6" t="str">
        <f>"15"</f>
        <v>15</v>
      </c>
      <c r="G538" s="6" t="str">
        <f>"13"</f>
        <v>13</v>
      </c>
      <c r="H538" s="7">
        <v>56.57</v>
      </c>
      <c r="I538" s="8">
        <v>140</v>
      </c>
      <c r="J538" s="8"/>
    </row>
    <row r="539" spans="1:10">
      <c r="A539" s="6">
        <v>537</v>
      </c>
      <c r="B539" s="6" t="str">
        <f t="shared" si="11"/>
        <v>0103</v>
      </c>
      <c r="C539" s="6" t="s">
        <v>14</v>
      </c>
      <c r="D539" s="6" t="str">
        <f>"杜小丹"</f>
        <v>杜小丹</v>
      </c>
      <c r="E539" s="6" t="str">
        <f>"202409212306"</f>
        <v>202409212306</v>
      </c>
      <c r="F539" s="6" t="str">
        <f>"23"</f>
        <v>23</v>
      </c>
      <c r="G539" s="6" t="str">
        <f>"06"</f>
        <v>06</v>
      </c>
      <c r="H539" s="7">
        <v>56.47</v>
      </c>
      <c r="I539" s="8">
        <v>141</v>
      </c>
      <c r="J539" s="8"/>
    </row>
    <row r="540" spans="1:10">
      <c r="A540" s="6">
        <v>538</v>
      </c>
      <c r="B540" s="6" t="str">
        <f t="shared" si="11"/>
        <v>0103</v>
      </c>
      <c r="C540" s="6" t="s">
        <v>14</v>
      </c>
      <c r="D540" s="6" t="str">
        <f>"余海燕"</f>
        <v>余海燕</v>
      </c>
      <c r="E540" s="6" t="str">
        <f>"202409211621"</f>
        <v>202409211621</v>
      </c>
      <c r="F540" s="6" t="str">
        <f>"16"</f>
        <v>16</v>
      </c>
      <c r="G540" s="6" t="str">
        <f>"21"</f>
        <v>21</v>
      </c>
      <c r="H540" s="7">
        <v>56.45</v>
      </c>
      <c r="I540" s="8">
        <v>142</v>
      </c>
      <c r="J540" s="8"/>
    </row>
    <row r="541" spans="1:10">
      <c r="A541" s="6">
        <v>539</v>
      </c>
      <c r="B541" s="6" t="str">
        <f t="shared" si="11"/>
        <v>0103</v>
      </c>
      <c r="C541" s="6" t="s">
        <v>14</v>
      </c>
      <c r="D541" s="6" t="str">
        <f>"蔡二女"</f>
        <v>蔡二女</v>
      </c>
      <c r="E541" s="6" t="str">
        <f>"202409212210"</f>
        <v>202409212210</v>
      </c>
      <c r="F541" s="6" t="str">
        <f>"22"</f>
        <v>22</v>
      </c>
      <c r="G541" s="6" t="str">
        <f>"10"</f>
        <v>10</v>
      </c>
      <c r="H541" s="7">
        <v>56.45</v>
      </c>
      <c r="I541" s="8">
        <v>143</v>
      </c>
      <c r="J541" s="8"/>
    </row>
    <row r="542" spans="1:10">
      <c r="A542" s="6">
        <v>540</v>
      </c>
      <c r="B542" s="6" t="str">
        <f t="shared" si="11"/>
        <v>0103</v>
      </c>
      <c r="C542" s="6" t="s">
        <v>14</v>
      </c>
      <c r="D542" s="6" t="str">
        <f>"覃朝霞"</f>
        <v>覃朝霞</v>
      </c>
      <c r="E542" s="6" t="str">
        <f>"202409211602"</f>
        <v>202409211602</v>
      </c>
      <c r="F542" s="6" t="str">
        <f>"16"</f>
        <v>16</v>
      </c>
      <c r="G542" s="6" t="str">
        <f>"02"</f>
        <v>02</v>
      </c>
      <c r="H542" s="7">
        <v>56.34</v>
      </c>
      <c r="I542" s="8">
        <v>144</v>
      </c>
      <c r="J542" s="8"/>
    </row>
    <row r="543" spans="1:10">
      <c r="A543" s="6">
        <v>541</v>
      </c>
      <c r="B543" s="6" t="str">
        <f t="shared" si="11"/>
        <v>0103</v>
      </c>
      <c r="C543" s="6" t="s">
        <v>14</v>
      </c>
      <c r="D543" s="6" t="str">
        <f>"陈延丽"</f>
        <v>陈延丽</v>
      </c>
      <c r="E543" s="6" t="str">
        <f>"202409212110"</f>
        <v>202409212110</v>
      </c>
      <c r="F543" s="6" t="str">
        <f>"21"</f>
        <v>21</v>
      </c>
      <c r="G543" s="6" t="str">
        <f>"10"</f>
        <v>10</v>
      </c>
      <c r="H543" s="7">
        <v>56.29</v>
      </c>
      <c r="I543" s="8">
        <v>145</v>
      </c>
      <c r="J543" s="8"/>
    </row>
    <row r="544" spans="1:10">
      <c r="A544" s="6">
        <v>542</v>
      </c>
      <c r="B544" s="6" t="str">
        <f t="shared" si="11"/>
        <v>0103</v>
      </c>
      <c r="C544" s="6" t="s">
        <v>14</v>
      </c>
      <c r="D544" s="6" t="str">
        <f>"卢宁荣"</f>
        <v>卢宁荣</v>
      </c>
      <c r="E544" s="6" t="str">
        <f>"202409212314"</f>
        <v>202409212314</v>
      </c>
      <c r="F544" s="6" t="str">
        <f>"23"</f>
        <v>23</v>
      </c>
      <c r="G544" s="6" t="str">
        <f>"14"</f>
        <v>14</v>
      </c>
      <c r="H544" s="7">
        <v>56.2</v>
      </c>
      <c r="I544" s="8">
        <v>146</v>
      </c>
      <c r="J544" s="8"/>
    </row>
    <row r="545" spans="1:10">
      <c r="A545" s="6">
        <v>543</v>
      </c>
      <c r="B545" s="6" t="str">
        <f t="shared" si="11"/>
        <v>0103</v>
      </c>
      <c r="C545" s="6" t="s">
        <v>14</v>
      </c>
      <c r="D545" s="6" t="str">
        <f>"石萃姻"</f>
        <v>石萃姻</v>
      </c>
      <c r="E545" s="6" t="str">
        <f>"202409211524"</f>
        <v>202409211524</v>
      </c>
      <c r="F545" s="6" t="str">
        <f>"15"</f>
        <v>15</v>
      </c>
      <c r="G545" s="6" t="str">
        <f>"24"</f>
        <v>24</v>
      </c>
      <c r="H545" s="7">
        <v>56.19</v>
      </c>
      <c r="I545" s="8">
        <v>147</v>
      </c>
      <c r="J545" s="8"/>
    </row>
    <row r="546" spans="1:10">
      <c r="A546" s="6">
        <v>544</v>
      </c>
      <c r="B546" s="6" t="str">
        <f t="shared" si="11"/>
        <v>0103</v>
      </c>
      <c r="C546" s="6" t="s">
        <v>14</v>
      </c>
      <c r="D546" s="6" t="str">
        <f>"蔡移"</f>
        <v>蔡移</v>
      </c>
      <c r="E546" s="6" t="str">
        <f>"202409211812"</f>
        <v>202409211812</v>
      </c>
      <c r="F546" s="6" t="str">
        <f>"18"</f>
        <v>18</v>
      </c>
      <c r="G546" s="6" t="str">
        <f>"12"</f>
        <v>12</v>
      </c>
      <c r="H546" s="7">
        <v>56.19</v>
      </c>
      <c r="I546" s="8">
        <v>148</v>
      </c>
      <c r="J546" s="8"/>
    </row>
    <row r="547" spans="1:10">
      <c r="A547" s="6">
        <v>545</v>
      </c>
      <c r="B547" s="6" t="str">
        <f t="shared" si="11"/>
        <v>0103</v>
      </c>
      <c r="C547" s="6" t="s">
        <v>14</v>
      </c>
      <c r="D547" s="6" t="str">
        <f>"朱淋淋"</f>
        <v>朱淋淋</v>
      </c>
      <c r="E547" s="6" t="str">
        <f>"202409211909"</f>
        <v>202409211909</v>
      </c>
      <c r="F547" s="6" t="str">
        <f>"19"</f>
        <v>19</v>
      </c>
      <c r="G547" s="6" t="str">
        <f>"09"</f>
        <v>09</v>
      </c>
      <c r="H547" s="7">
        <v>56.19</v>
      </c>
      <c r="I547" s="8">
        <v>149</v>
      </c>
      <c r="J547" s="8"/>
    </row>
    <row r="548" spans="1:10">
      <c r="A548" s="6">
        <v>546</v>
      </c>
      <c r="B548" s="6" t="str">
        <f t="shared" si="11"/>
        <v>0103</v>
      </c>
      <c r="C548" s="6" t="s">
        <v>14</v>
      </c>
      <c r="D548" s="6" t="str">
        <f>"陈婷婷"</f>
        <v>陈婷婷</v>
      </c>
      <c r="E548" s="6" t="str">
        <f>"202409211503"</f>
        <v>202409211503</v>
      </c>
      <c r="F548" s="6" t="str">
        <f>"15"</f>
        <v>15</v>
      </c>
      <c r="G548" s="6" t="str">
        <f>"03"</f>
        <v>03</v>
      </c>
      <c r="H548" s="7">
        <v>56.09</v>
      </c>
      <c r="I548" s="8">
        <v>150</v>
      </c>
      <c r="J548" s="8"/>
    </row>
    <row r="549" spans="1:10">
      <c r="A549" s="6">
        <v>547</v>
      </c>
      <c r="B549" s="6" t="str">
        <f t="shared" si="11"/>
        <v>0103</v>
      </c>
      <c r="C549" s="6" t="s">
        <v>14</v>
      </c>
      <c r="D549" s="6" t="str">
        <f>"钟浪"</f>
        <v>钟浪</v>
      </c>
      <c r="E549" s="6" t="str">
        <f>"202409211614"</f>
        <v>202409211614</v>
      </c>
      <c r="F549" s="6" t="str">
        <f>"16"</f>
        <v>16</v>
      </c>
      <c r="G549" s="6" t="str">
        <f>"14"</f>
        <v>14</v>
      </c>
      <c r="H549" s="7">
        <v>55.87</v>
      </c>
      <c r="I549" s="8">
        <v>151</v>
      </c>
      <c r="J549" s="8"/>
    </row>
    <row r="550" spans="1:10">
      <c r="A550" s="6">
        <v>548</v>
      </c>
      <c r="B550" s="6" t="str">
        <f t="shared" si="11"/>
        <v>0103</v>
      </c>
      <c r="C550" s="6" t="s">
        <v>14</v>
      </c>
      <c r="D550" s="6" t="str">
        <f>"陈慧颖"</f>
        <v>陈慧颖</v>
      </c>
      <c r="E550" s="6" t="str">
        <f>"202409211902"</f>
        <v>202409211902</v>
      </c>
      <c r="F550" s="6" t="str">
        <f>"19"</f>
        <v>19</v>
      </c>
      <c r="G550" s="6" t="str">
        <f>"02"</f>
        <v>02</v>
      </c>
      <c r="H550" s="7">
        <v>55.8</v>
      </c>
      <c r="I550" s="8">
        <v>152</v>
      </c>
      <c r="J550" s="8"/>
    </row>
    <row r="551" spans="1:10">
      <c r="A551" s="6">
        <v>549</v>
      </c>
      <c r="B551" s="6" t="str">
        <f t="shared" si="11"/>
        <v>0103</v>
      </c>
      <c r="C551" s="6" t="s">
        <v>14</v>
      </c>
      <c r="D551" s="6" t="str">
        <f>"邢维雯"</f>
        <v>邢维雯</v>
      </c>
      <c r="E551" s="6" t="str">
        <f>"202409211417"</f>
        <v>202409211417</v>
      </c>
      <c r="F551" s="6" t="str">
        <f>"14"</f>
        <v>14</v>
      </c>
      <c r="G551" s="6" t="str">
        <f>"17"</f>
        <v>17</v>
      </c>
      <c r="H551" s="7">
        <v>55.51</v>
      </c>
      <c r="I551" s="8">
        <v>153</v>
      </c>
      <c r="J551" s="8"/>
    </row>
    <row r="552" spans="1:10">
      <c r="A552" s="6">
        <v>550</v>
      </c>
      <c r="B552" s="6" t="str">
        <f t="shared" si="11"/>
        <v>0103</v>
      </c>
      <c r="C552" s="6" t="s">
        <v>14</v>
      </c>
      <c r="D552" s="6" t="str">
        <f>"石榆眉"</f>
        <v>石榆眉</v>
      </c>
      <c r="E552" s="6" t="str">
        <f>"202409212012"</f>
        <v>202409212012</v>
      </c>
      <c r="F552" s="6" t="str">
        <f>"20"</f>
        <v>20</v>
      </c>
      <c r="G552" s="6" t="str">
        <f>"12"</f>
        <v>12</v>
      </c>
      <c r="H552" s="7">
        <v>55.33</v>
      </c>
      <c r="I552" s="8">
        <v>154</v>
      </c>
      <c r="J552" s="8"/>
    </row>
    <row r="553" spans="1:10">
      <c r="A553" s="6">
        <v>551</v>
      </c>
      <c r="B553" s="6" t="str">
        <f t="shared" si="11"/>
        <v>0103</v>
      </c>
      <c r="C553" s="6" t="s">
        <v>14</v>
      </c>
      <c r="D553" s="6" t="str">
        <f>"姚丹丽"</f>
        <v>姚丹丽</v>
      </c>
      <c r="E553" s="6" t="str">
        <f>"202409211603"</f>
        <v>202409211603</v>
      </c>
      <c r="F553" s="6" t="str">
        <f>"16"</f>
        <v>16</v>
      </c>
      <c r="G553" s="6" t="str">
        <f>"03"</f>
        <v>03</v>
      </c>
      <c r="H553" s="7">
        <v>55.24</v>
      </c>
      <c r="I553" s="8">
        <v>155</v>
      </c>
      <c r="J553" s="8"/>
    </row>
    <row r="554" spans="1:10">
      <c r="A554" s="6">
        <v>552</v>
      </c>
      <c r="B554" s="6" t="str">
        <f t="shared" si="11"/>
        <v>0103</v>
      </c>
      <c r="C554" s="6" t="s">
        <v>14</v>
      </c>
      <c r="D554" s="6" t="str">
        <f>"邢嘉送"</f>
        <v>邢嘉送</v>
      </c>
      <c r="E554" s="6" t="str">
        <f>"202409211802"</f>
        <v>202409211802</v>
      </c>
      <c r="F554" s="6" t="str">
        <f>"18"</f>
        <v>18</v>
      </c>
      <c r="G554" s="6" t="str">
        <f>"02"</f>
        <v>02</v>
      </c>
      <c r="H554" s="7">
        <v>55.17</v>
      </c>
      <c r="I554" s="8">
        <v>156</v>
      </c>
      <c r="J554" s="8"/>
    </row>
    <row r="555" spans="1:10">
      <c r="A555" s="6">
        <v>553</v>
      </c>
      <c r="B555" s="6" t="str">
        <f t="shared" si="11"/>
        <v>0103</v>
      </c>
      <c r="C555" s="6" t="s">
        <v>14</v>
      </c>
      <c r="D555" s="6" t="str">
        <f>"周梨梨"</f>
        <v>周梨梨</v>
      </c>
      <c r="E555" s="6" t="str">
        <f>"202409212317"</f>
        <v>202409212317</v>
      </c>
      <c r="F555" s="6" t="str">
        <f>"23"</f>
        <v>23</v>
      </c>
      <c r="G555" s="6" t="str">
        <f>"17"</f>
        <v>17</v>
      </c>
      <c r="H555" s="7">
        <v>55.09</v>
      </c>
      <c r="I555" s="8">
        <v>157</v>
      </c>
      <c r="J555" s="8"/>
    </row>
    <row r="556" spans="1:10">
      <c r="A556" s="6">
        <v>554</v>
      </c>
      <c r="B556" s="6" t="str">
        <f t="shared" si="11"/>
        <v>0103</v>
      </c>
      <c r="C556" s="6" t="s">
        <v>14</v>
      </c>
      <c r="D556" s="6" t="str">
        <f>"李娜"</f>
        <v>李娜</v>
      </c>
      <c r="E556" s="6" t="str">
        <f>"202409211816"</f>
        <v>202409211816</v>
      </c>
      <c r="F556" s="6" t="str">
        <f>"18"</f>
        <v>18</v>
      </c>
      <c r="G556" s="6" t="str">
        <f>"16"</f>
        <v>16</v>
      </c>
      <c r="H556" s="7">
        <v>55.08</v>
      </c>
      <c r="I556" s="8">
        <v>158</v>
      </c>
      <c r="J556" s="8"/>
    </row>
    <row r="557" spans="1:10">
      <c r="A557" s="6">
        <v>555</v>
      </c>
      <c r="B557" s="6" t="str">
        <f t="shared" si="11"/>
        <v>0103</v>
      </c>
      <c r="C557" s="6" t="s">
        <v>14</v>
      </c>
      <c r="D557" s="6" t="str">
        <f>"杜慧宁"</f>
        <v>杜慧宁</v>
      </c>
      <c r="E557" s="6" t="str">
        <f>"202409212222"</f>
        <v>202409212222</v>
      </c>
      <c r="F557" s="6" t="str">
        <f>"22"</f>
        <v>22</v>
      </c>
      <c r="G557" s="6" t="str">
        <f>"22"</f>
        <v>22</v>
      </c>
      <c r="H557" s="7">
        <v>54.94</v>
      </c>
      <c r="I557" s="8">
        <v>159</v>
      </c>
      <c r="J557" s="8"/>
    </row>
    <row r="558" spans="1:10">
      <c r="A558" s="6">
        <v>556</v>
      </c>
      <c r="B558" s="6" t="str">
        <f t="shared" si="11"/>
        <v>0103</v>
      </c>
      <c r="C558" s="6" t="s">
        <v>14</v>
      </c>
      <c r="D558" s="6" t="str">
        <f>"黄晓奕"</f>
        <v>黄晓奕</v>
      </c>
      <c r="E558" s="6" t="str">
        <f>"202409212217"</f>
        <v>202409212217</v>
      </c>
      <c r="F558" s="6" t="str">
        <f>"22"</f>
        <v>22</v>
      </c>
      <c r="G558" s="6" t="str">
        <f>"17"</f>
        <v>17</v>
      </c>
      <c r="H558" s="7">
        <v>54.82</v>
      </c>
      <c r="I558" s="8">
        <v>160</v>
      </c>
      <c r="J558" s="8"/>
    </row>
    <row r="559" spans="1:10">
      <c r="A559" s="6">
        <v>557</v>
      </c>
      <c r="B559" s="6" t="str">
        <f t="shared" si="11"/>
        <v>0103</v>
      </c>
      <c r="C559" s="6" t="s">
        <v>14</v>
      </c>
      <c r="D559" s="6" t="str">
        <f>"李微"</f>
        <v>李微</v>
      </c>
      <c r="E559" s="6" t="str">
        <f>"202409212215"</f>
        <v>202409212215</v>
      </c>
      <c r="F559" s="6" t="str">
        <f>"22"</f>
        <v>22</v>
      </c>
      <c r="G559" s="6" t="str">
        <f>"15"</f>
        <v>15</v>
      </c>
      <c r="H559" s="7">
        <v>54.73</v>
      </c>
      <c r="I559" s="8">
        <v>161</v>
      </c>
      <c r="J559" s="8"/>
    </row>
    <row r="560" spans="1:10">
      <c r="A560" s="6">
        <v>558</v>
      </c>
      <c r="B560" s="6" t="str">
        <f t="shared" si="11"/>
        <v>0103</v>
      </c>
      <c r="C560" s="6" t="s">
        <v>14</v>
      </c>
      <c r="D560" s="6" t="str">
        <f>"林香巽"</f>
        <v>林香巽</v>
      </c>
      <c r="E560" s="6" t="str">
        <f>"202409212204"</f>
        <v>202409212204</v>
      </c>
      <c r="F560" s="6" t="str">
        <f>"22"</f>
        <v>22</v>
      </c>
      <c r="G560" s="6" t="str">
        <f>"04"</f>
        <v>04</v>
      </c>
      <c r="H560" s="7">
        <v>54.7</v>
      </c>
      <c r="I560" s="8">
        <v>162</v>
      </c>
      <c r="J560" s="8"/>
    </row>
    <row r="561" spans="1:10">
      <c r="A561" s="6">
        <v>559</v>
      </c>
      <c r="B561" s="6" t="str">
        <f t="shared" si="11"/>
        <v>0103</v>
      </c>
      <c r="C561" s="6" t="s">
        <v>14</v>
      </c>
      <c r="D561" s="6" t="str">
        <f>"卢燕芳"</f>
        <v>卢燕芳</v>
      </c>
      <c r="E561" s="6" t="str">
        <f>"202409212128"</f>
        <v>202409212128</v>
      </c>
      <c r="F561" s="6" t="str">
        <f>"21"</f>
        <v>21</v>
      </c>
      <c r="G561" s="6" t="str">
        <f>"28"</f>
        <v>28</v>
      </c>
      <c r="H561" s="7">
        <v>54.69</v>
      </c>
      <c r="I561" s="8">
        <v>163</v>
      </c>
      <c r="J561" s="8"/>
    </row>
    <row r="562" spans="1:10">
      <c r="A562" s="6">
        <v>560</v>
      </c>
      <c r="B562" s="6" t="str">
        <f t="shared" si="11"/>
        <v>0103</v>
      </c>
      <c r="C562" s="6" t="s">
        <v>14</v>
      </c>
      <c r="D562" s="6" t="str">
        <f>"韩暖"</f>
        <v>韩暖</v>
      </c>
      <c r="E562" s="6" t="str">
        <f>"202409211914"</f>
        <v>202409211914</v>
      </c>
      <c r="F562" s="6" t="str">
        <f>"19"</f>
        <v>19</v>
      </c>
      <c r="G562" s="6" t="str">
        <f>"14"</f>
        <v>14</v>
      </c>
      <c r="H562" s="7">
        <v>54.65</v>
      </c>
      <c r="I562" s="8">
        <v>164</v>
      </c>
      <c r="J562" s="8"/>
    </row>
    <row r="563" spans="1:10">
      <c r="A563" s="6">
        <v>561</v>
      </c>
      <c r="B563" s="6" t="str">
        <f t="shared" si="11"/>
        <v>0103</v>
      </c>
      <c r="C563" s="6" t="s">
        <v>14</v>
      </c>
      <c r="D563" s="6" t="str">
        <f>"麦小叶"</f>
        <v>麦小叶</v>
      </c>
      <c r="E563" s="6" t="str">
        <f>"202409211910"</f>
        <v>202409211910</v>
      </c>
      <c r="F563" s="6" t="str">
        <f>"19"</f>
        <v>19</v>
      </c>
      <c r="G563" s="6" t="str">
        <f>"10"</f>
        <v>10</v>
      </c>
      <c r="H563" s="7">
        <v>54.35</v>
      </c>
      <c r="I563" s="8">
        <v>165</v>
      </c>
      <c r="J563" s="8"/>
    </row>
    <row r="564" spans="1:10">
      <c r="A564" s="6">
        <v>562</v>
      </c>
      <c r="B564" s="6" t="str">
        <f t="shared" si="11"/>
        <v>0103</v>
      </c>
      <c r="C564" s="6" t="s">
        <v>14</v>
      </c>
      <c r="D564" s="6" t="str">
        <f>"范金兰"</f>
        <v>范金兰</v>
      </c>
      <c r="E564" s="6" t="str">
        <f>"202409212120"</f>
        <v>202409212120</v>
      </c>
      <c r="F564" s="6" t="str">
        <f>"21"</f>
        <v>21</v>
      </c>
      <c r="G564" s="6" t="str">
        <f>"20"</f>
        <v>20</v>
      </c>
      <c r="H564" s="7">
        <v>54.3</v>
      </c>
      <c r="I564" s="8">
        <v>166</v>
      </c>
      <c r="J564" s="8"/>
    </row>
    <row r="565" spans="1:10">
      <c r="A565" s="6">
        <v>563</v>
      </c>
      <c r="B565" s="6" t="str">
        <f t="shared" si="11"/>
        <v>0103</v>
      </c>
      <c r="C565" s="6" t="s">
        <v>14</v>
      </c>
      <c r="D565" s="6" t="str">
        <f>"黄娇艳"</f>
        <v>黄娇艳</v>
      </c>
      <c r="E565" s="6" t="str">
        <f>"202409211613"</f>
        <v>202409211613</v>
      </c>
      <c r="F565" s="6" t="str">
        <f>"16"</f>
        <v>16</v>
      </c>
      <c r="G565" s="6" t="str">
        <f>"13"</f>
        <v>13</v>
      </c>
      <c r="H565" s="7">
        <v>54.26</v>
      </c>
      <c r="I565" s="8">
        <v>167</v>
      </c>
      <c r="J565" s="8"/>
    </row>
    <row r="566" spans="1:10">
      <c r="A566" s="6">
        <v>564</v>
      </c>
      <c r="B566" s="6" t="str">
        <f t="shared" si="11"/>
        <v>0103</v>
      </c>
      <c r="C566" s="6" t="s">
        <v>14</v>
      </c>
      <c r="D566" s="6" t="str">
        <f>"符开瑛"</f>
        <v>符开瑛</v>
      </c>
      <c r="E566" s="6" t="str">
        <f>"202409211829"</f>
        <v>202409211829</v>
      </c>
      <c r="F566" s="6" t="str">
        <f>"18"</f>
        <v>18</v>
      </c>
      <c r="G566" s="6" t="str">
        <f>"29"</f>
        <v>29</v>
      </c>
      <c r="H566" s="7">
        <v>53.91</v>
      </c>
      <c r="I566" s="8">
        <v>168</v>
      </c>
      <c r="J566" s="8"/>
    </row>
    <row r="567" spans="1:10">
      <c r="A567" s="6">
        <v>565</v>
      </c>
      <c r="B567" s="6" t="str">
        <f t="shared" si="11"/>
        <v>0103</v>
      </c>
      <c r="C567" s="6" t="s">
        <v>14</v>
      </c>
      <c r="D567" s="6" t="str">
        <f>"陈晓乐"</f>
        <v>陈晓乐</v>
      </c>
      <c r="E567" s="6" t="str">
        <f>"202409211705"</f>
        <v>202409211705</v>
      </c>
      <c r="F567" s="6" t="str">
        <f>"17"</f>
        <v>17</v>
      </c>
      <c r="G567" s="6" t="str">
        <f>"05"</f>
        <v>05</v>
      </c>
      <c r="H567" s="7">
        <v>53.74</v>
      </c>
      <c r="I567" s="8">
        <v>169</v>
      </c>
      <c r="J567" s="8"/>
    </row>
    <row r="568" spans="1:10">
      <c r="A568" s="6">
        <v>566</v>
      </c>
      <c r="B568" s="6" t="str">
        <f t="shared" si="11"/>
        <v>0103</v>
      </c>
      <c r="C568" s="6" t="s">
        <v>14</v>
      </c>
      <c r="D568" s="6" t="str">
        <f>"吴海秋"</f>
        <v>吴海秋</v>
      </c>
      <c r="E568" s="6" t="str">
        <f>"202409212206"</f>
        <v>202409212206</v>
      </c>
      <c r="F568" s="6" t="str">
        <f>"22"</f>
        <v>22</v>
      </c>
      <c r="G568" s="6" t="str">
        <f>"06"</f>
        <v>06</v>
      </c>
      <c r="H568" s="7">
        <v>53.58</v>
      </c>
      <c r="I568" s="8">
        <v>170</v>
      </c>
      <c r="J568" s="8"/>
    </row>
    <row r="569" spans="1:10">
      <c r="A569" s="6">
        <v>567</v>
      </c>
      <c r="B569" s="6" t="str">
        <f t="shared" si="11"/>
        <v>0103</v>
      </c>
      <c r="C569" s="6" t="s">
        <v>14</v>
      </c>
      <c r="D569" s="6" t="str">
        <f>"张宽彩"</f>
        <v>张宽彩</v>
      </c>
      <c r="E569" s="6" t="str">
        <f>"202409211409"</f>
        <v>202409211409</v>
      </c>
      <c r="F569" s="6" t="str">
        <f>"14"</f>
        <v>14</v>
      </c>
      <c r="G569" s="6" t="str">
        <f>"09"</f>
        <v>09</v>
      </c>
      <c r="H569" s="7">
        <v>53.44</v>
      </c>
      <c r="I569" s="8">
        <v>171</v>
      </c>
      <c r="J569" s="8"/>
    </row>
    <row r="570" spans="1:10">
      <c r="A570" s="6">
        <v>568</v>
      </c>
      <c r="B570" s="6" t="str">
        <f t="shared" si="11"/>
        <v>0103</v>
      </c>
      <c r="C570" s="6" t="s">
        <v>14</v>
      </c>
      <c r="D570" s="6" t="str">
        <f>"张王芳"</f>
        <v>张王芳</v>
      </c>
      <c r="E570" s="6" t="str">
        <f>"202409212224"</f>
        <v>202409212224</v>
      </c>
      <c r="F570" s="6" t="str">
        <f>"22"</f>
        <v>22</v>
      </c>
      <c r="G570" s="6" t="str">
        <f>"24"</f>
        <v>24</v>
      </c>
      <c r="H570" s="7">
        <v>53.32</v>
      </c>
      <c r="I570" s="8">
        <v>172</v>
      </c>
      <c r="J570" s="8"/>
    </row>
    <row r="571" spans="1:10">
      <c r="A571" s="6">
        <v>569</v>
      </c>
      <c r="B571" s="6" t="str">
        <f t="shared" si="11"/>
        <v>0103</v>
      </c>
      <c r="C571" s="6" t="s">
        <v>14</v>
      </c>
      <c r="D571" s="6" t="str">
        <f>"陈冰倩"</f>
        <v>陈冰倩</v>
      </c>
      <c r="E571" s="6" t="str">
        <f>"202409211720"</f>
        <v>202409211720</v>
      </c>
      <c r="F571" s="6" t="str">
        <f>"17"</f>
        <v>17</v>
      </c>
      <c r="G571" s="6" t="str">
        <f>"20"</f>
        <v>20</v>
      </c>
      <c r="H571" s="7">
        <v>53.28</v>
      </c>
      <c r="I571" s="8">
        <v>173</v>
      </c>
      <c r="J571" s="8"/>
    </row>
    <row r="572" spans="1:10">
      <c r="A572" s="6">
        <v>570</v>
      </c>
      <c r="B572" s="6" t="str">
        <f t="shared" si="11"/>
        <v>0103</v>
      </c>
      <c r="C572" s="6" t="s">
        <v>14</v>
      </c>
      <c r="D572" s="6" t="str">
        <f>"赵春娜"</f>
        <v>赵春娜</v>
      </c>
      <c r="E572" s="6" t="str">
        <f>"202409211630"</f>
        <v>202409211630</v>
      </c>
      <c r="F572" s="6" t="str">
        <f>"16"</f>
        <v>16</v>
      </c>
      <c r="G572" s="6" t="str">
        <f>"30"</f>
        <v>30</v>
      </c>
      <c r="H572" s="7">
        <v>53.2</v>
      </c>
      <c r="I572" s="8">
        <v>174</v>
      </c>
      <c r="J572" s="8"/>
    </row>
    <row r="573" spans="1:10">
      <c r="A573" s="6">
        <v>571</v>
      </c>
      <c r="B573" s="6" t="str">
        <f t="shared" si="11"/>
        <v>0103</v>
      </c>
      <c r="C573" s="6" t="s">
        <v>14</v>
      </c>
      <c r="D573" s="6" t="str">
        <f>"李庚芯"</f>
        <v>李庚芯</v>
      </c>
      <c r="E573" s="6" t="str">
        <f>"202409211726"</f>
        <v>202409211726</v>
      </c>
      <c r="F573" s="6" t="str">
        <f>"17"</f>
        <v>17</v>
      </c>
      <c r="G573" s="6" t="str">
        <f>"26"</f>
        <v>26</v>
      </c>
      <c r="H573" s="7">
        <v>53.16</v>
      </c>
      <c r="I573" s="8">
        <v>175</v>
      </c>
      <c r="J573" s="8"/>
    </row>
    <row r="574" spans="1:10">
      <c r="A574" s="6">
        <v>572</v>
      </c>
      <c r="B574" s="6" t="str">
        <f t="shared" si="11"/>
        <v>0103</v>
      </c>
      <c r="C574" s="6" t="s">
        <v>14</v>
      </c>
      <c r="D574" s="6" t="str">
        <f>"林君"</f>
        <v>林君</v>
      </c>
      <c r="E574" s="6" t="str">
        <f>"202409212116"</f>
        <v>202409212116</v>
      </c>
      <c r="F574" s="6" t="str">
        <f>"21"</f>
        <v>21</v>
      </c>
      <c r="G574" s="6" t="str">
        <f>"16"</f>
        <v>16</v>
      </c>
      <c r="H574" s="7">
        <v>53.08</v>
      </c>
      <c r="I574" s="8">
        <v>176</v>
      </c>
      <c r="J574" s="8"/>
    </row>
    <row r="575" spans="1:10">
      <c r="A575" s="6">
        <v>573</v>
      </c>
      <c r="B575" s="6" t="str">
        <f t="shared" si="11"/>
        <v>0103</v>
      </c>
      <c r="C575" s="6" t="s">
        <v>14</v>
      </c>
      <c r="D575" s="6" t="str">
        <f>"黄秋菊"</f>
        <v>黄秋菊</v>
      </c>
      <c r="E575" s="6" t="str">
        <f>"202409212201"</f>
        <v>202409212201</v>
      </c>
      <c r="F575" s="6" t="str">
        <f>"22"</f>
        <v>22</v>
      </c>
      <c r="G575" s="6" t="str">
        <f>"01"</f>
        <v>01</v>
      </c>
      <c r="H575" s="7">
        <v>52.9</v>
      </c>
      <c r="I575" s="8">
        <v>177</v>
      </c>
      <c r="J575" s="8"/>
    </row>
    <row r="576" spans="1:10">
      <c r="A576" s="6">
        <v>574</v>
      </c>
      <c r="B576" s="6" t="str">
        <f t="shared" si="11"/>
        <v>0103</v>
      </c>
      <c r="C576" s="6" t="s">
        <v>14</v>
      </c>
      <c r="D576" s="6" t="str">
        <f>"陆海娟"</f>
        <v>陆海娟</v>
      </c>
      <c r="E576" s="6" t="str">
        <f>"202409211817"</f>
        <v>202409211817</v>
      </c>
      <c r="F576" s="6" t="str">
        <f>"18"</f>
        <v>18</v>
      </c>
      <c r="G576" s="6" t="str">
        <f>"17"</f>
        <v>17</v>
      </c>
      <c r="H576" s="7">
        <v>52.81</v>
      </c>
      <c r="I576" s="8">
        <v>178</v>
      </c>
      <c r="J576" s="8"/>
    </row>
    <row r="577" spans="1:10">
      <c r="A577" s="6">
        <v>575</v>
      </c>
      <c r="B577" s="6" t="str">
        <f t="shared" si="11"/>
        <v>0103</v>
      </c>
      <c r="C577" s="6" t="s">
        <v>14</v>
      </c>
      <c r="D577" s="6" t="str">
        <f>"薛娇"</f>
        <v>薛娇</v>
      </c>
      <c r="E577" s="6" t="str">
        <f>"202409211425"</f>
        <v>202409211425</v>
      </c>
      <c r="F577" s="6" t="str">
        <f>"14"</f>
        <v>14</v>
      </c>
      <c r="G577" s="6" t="str">
        <f>"25"</f>
        <v>25</v>
      </c>
      <c r="H577" s="7">
        <v>52.76</v>
      </c>
      <c r="I577" s="8">
        <v>179</v>
      </c>
      <c r="J577" s="8"/>
    </row>
    <row r="578" spans="1:10">
      <c r="A578" s="6">
        <v>576</v>
      </c>
      <c r="B578" s="6" t="str">
        <f t="shared" si="11"/>
        <v>0103</v>
      </c>
      <c r="C578" s="6" t="s">
        <v>14</v>
      </c>
      <c r="D578" s="6" t="str">
        <f>"林小曼"</f>
        <v>林小曼</v>
      </c>
      <c r="E578" s="6" t="str">
        <f>"202409212102"</f>
        <v>202409212102</v>
      </c>
      <c r="F578" s="6" t="str">
        <f>"21"</f>
        <v>21</v>
      </c>
      <c r="G578" s="6" t="str">
        <f>"02"</f>
        <v>02</v>
      </c>
      <c r="H578" s="7">
        <v>52.49</v>
      </c>
      <c r="I578" s="8">
        <v>180</v>
      </c>
      <c r="J578" s="8"/>
    </row>
    <row r="579" spans="1:10">
      <c r="A579" s="6">
        <v>577</v>
      </c>
      <c r="B579" s="6" t="str">
        <f t="shared" si="11"/>
        <v>0103</v>
      </c>
      <c r="C579" s="6" t="s">
        <v>14</v>
      </c>
      <c r="D579" s="6" t="str">
        <f>"王丽婵"</f>
        <v>王丽婵</v>
      </c>
      <c r="E579" s="6" t="str">
        <f>"202409211807"</f>
        <v>202409211807</v>
      </c>
      <c r="F579" s="6" t="str">
        <f>"18"</f>
        <v>18</v>
      </c>
      <c r="G579" s="6" t="str">
        <f>"07"</f>
        <v>07</v>
      </c>
      <c r="H579" s="7">
        <v>52.36</v>
      </c>
      <c r="I579" s="8">
        <v>181</v>
      </c>
      <c r="J579" s="8"/>
    </row>
    <row r="580" spans="1:10">
      <c r="A580" s="6">
        <v>578</v>
      </c>
      <c r="B580" s="6" t="str">
        <f t="shared" si="11"/>
        <v>0103</v>
      </c>
      <c r="C580" s="6" t="s">
        <v>14</v>
      </c>
      <c r="D580" s="6" t="str">
        <f>"张玉荷"</f>
        <v>张玉荷</v>
      </c>
      <c r="E580" s="6" t="str">
        <f>"202409211912"</f>
        <v>202409211912</v>
      </c>
      <c r="F580" s="6" t="str">
        <f>"19"</f>
        <v>19</v>
      </c>
      <c r="G580" s="6" t="str">
        <f>"12"</f>
        <v>12</v>
      </c>
      <c r="H580" s="7">
        <v>52.24</v>
      </c>
      <c r="I580" s="8">
        <v>182</v>
      </c>
      <c r="J580" s="8"/>
    </row>
    <row r="581" spans="1:10">
      <c r="A581" s="6">
        <v>579</v>
      </c>
      <c r="B581" s="6" t="str">
        <f t="shared" si="11"/>
        <v>0103</v>
      </c>
      <c r="C581" s="6" t="s">
        <v>14</v>
      </c>
      <c r="D581" s="6" t="str">
        <f>"文芳芳"</f>
        <v>文芳芳</v>
      </c>
      <c r="E581" s="6" t="str">
        <f>"202409212101"</f>
        <v>202409212101</v>
      </c>
      <c r="F581" s="6" t="str">
        <f>"21"</f>
        <v>21</v>
      </c>
      <c r="G581" s="6" t="str">
        <f>"01"</f>
        <v>01</v>
      </c>
      <c r="H581" s="7">
        <v>52.03</v>
      </c>
      <c r="I581" s="8">
        <v>183</v>
      </c>
      <c r="J581" s="8"/>
    </row>
    <row r="582" spans="1:10">
      <c r="A582" s="6">
        <v>580</v>
      </c>
      <c r="B582" s="6" t="str">
        <f t="shared" si="11"/>
        <v>0103</v>
      </c>
      <c r="C582" s="6" t="s">
        <v>14</v>
      </c>
      <c r="D582" s="6" t="str">
        <f>"梁羽"</f>
        <v>梁羽</v>
      </c>
      <c r="E582" s="6" t="str">
        <f>"202409212312"</f>
        <v>202409212312</v>
      </c>
      <c r="F582" s="6" t="str">
        <f>"23"</f>
        <v>23</v>
      </c>
      <c r="G582" s="6" t="str">
        <f>"12"</f>
        <v>12</v>
      </c>
      <c r="H582" s="7">
        <v>51.51</v>
      </c>
      <c r="I582" s="8">
        <v>184</v>
      </c>
      <c r="J582" s="8"/>
    </row>
    <row r="583" spans="1:10">
      <c r="A583" s="6">
        <v>581</v>
      </c>
      <c r="B583" s="6" t="str">
        <f t="shared" si="11"/>
        <v>0103</v>
      </c>
      <c r="C583" s="6" t="s">
        <v>14</v>
      </c>
      <c r="D583" s="6" t="str">
        <f>"李昌宝"</f>
        <v>李昌宝</v>
      </c>
      <c r="E583" s="6" t="str">
        <f>"202409212021"</f>
        <v>202409212021</v>
      </c>
      <c r="F583" s="6" t="str">
        <f>"20"</f>
        <v>20</v>
      </c>
      <c r="G583" s="6" t="str">
        <f>"21"</f>
        <v>21</v>
      </c>
      <c r="H583" s="7">
        <v>51.35</v>
      </c>
      <c r="I583" s="8">
        <v>185</v>
      </c>
      <c r="J583" s="8"/>
    </row>
    <row r="584" spans="1:10">
      <c r="A584" s="6">
        <v>582</v>
      </c>
      <c r="B584" s="6" t="str">
        <f t="shared" si="11"/>
        <v>0103</v>
      </c>
      <c r="C584" s="6" t="s">
        <v>14</v>
      </c>
      <c r="D584" s="6" t="str">
        <f>"邢萌萌"</f>
        <v>邢萌萌</v>
      </c>
      <c r="E584" s="6" t="str">
        <f>"202409211520"</f>
        <v>202409211520</v>
      </c>
      <c r="F584" s="6" t="str">
        <f>"15"</f>
        <v>15</v>
      </c>
      <c r="G584" s="6" t="str">
        <f>"20"</f>
        <v>20</v>
      </c>
      <c r="H584" s="7">
        <v>51.31</v>
      </c>
      <c r="I584" s="8">
        <v>186</v>
      </c>
      <c r="J584" s="8"/>
    </row>
    <row r="585" spans="1:10">
      <c r="A585" s="6">
        <v>583</v>
      </c>
      <c r="B585" s="6" t="str">
        <f t="shared" si="11"/>
        <v>0103</v>
      </c>
      <c r="C585" s="6" t="s">
        <v>14</v>
      </c>
      <c r="D585" s="6" t="str">
        <f>"符琼莉"</f>
        <v>符琼莉</v>
      </c>
      <c r="E585" s="6" t="str">
        <f>"202409212104"</f>
        <v>202409212104</v>
      </c>
      <c r="F585" s="6" t="str">
        <f>"21"</f>
        <v>21</v>
      </c>
      <c r="G585" s="6" t="str">
        <f>"04"</f>
        <v>04</v>
      </c>
      <c r="H585" s="7">
        <v>51.24</v>
      </c>
      <c r="I585" s="8">
        <v>187</v>
      </c>
      <c r="J585" s="8"/>
    </row>
    <row r="586" spans="1:10">
      <c r="A586" s="6">
        <v>584</v>
      </c>
      <c r="B586" s="6" t="str">
        <f t="shared" si="11"/>
        <v>0103</v>
      </c>
      <c r="C586" s="6" t="s">
        <v>14</v>
      </c>
      <c r="D586" s="6" t="str">
        <f>"吴柔丝"</f>
        <v>吴柔丝</v>
      </c>
      <c r="E586" s="6" t="str">
        <f>"202409212328"</f>
        <v>202409212328</v>
      </c>
      <c r="F586" s="6" t="str">
        <f>"23"</f>
        <v>23</v>
      </c>
      <c r="G586" s="6" t="str">
        <f>"28"</f>
        <v>28</v>
      </c>
      <c r="H586" s="7">
        <v>51.24</v>
      </c>
      <c r="I586" s="8">
        <v>188</v>
      </c>
      <c r="J586" s="8"/>
    </row>
    <row r="587" spans="1:10">
      <c r="A587" s="6">
        <v>585</v>
      </c>
      <c r="B587" s="6" t="str">
        <f t="shared" si="11"/>
        <v>0103</v>
      </c>
      <c r="C587" s="6" t="s">
        <v>14</v>
      </c>
      <c r="D587" s="6" t="str">
        <f>"王妃妃"</f>
        <v>王妃妃</v>
      </c>
      <c r="E587" s="6" t="str">
        <f>"202409211607"</f>
        <v>202409211607</v>
      </c>
      <c r="F587" s="6" t="str">
        <f>"16"</f>
        <v>16</v>
      </c>
      <c r="G587" s="6" t="str">
        <f>"07"</f>
        <v>07</v>
      </c>
      <c r="H587" s="7">
        <v>51.09</v>
      </c>
      <c r="I587" s="8">
        <v>189</v>
      </c>
      <c r="J587" s="8"/>
    </row>
    <row r="588" spans="1:10">
      <c r="A588" s="6">
        <v>586</v>
      </c>
      <c r="B588" s="6" t="str">
        <f t="shared" si="11"/>
        <v>0103</v>
      </c>
      <c r="C588" s="6" t="s">
        <v>14</v>
      </c>
      <c r="D588" s="6" t="str">
        <f>"王舒淇"</f>
        <v>王舒淇</v>
      </c>
      <c r="E588" s="6" t="str">
        <f>"202409211624"</f>
        <v>202409211624</v>
      </c>
      <c r="F588" s="6" t="str">
        <f>"16"</f>
        <v>16</v>
      </c>
      <c r="G588" s="6" t="str">
        <f>"24"</f>
        <v>24</v>
      </c>
      <c r="H588" s="7">
        <v>51.06</v>
      </c>
      <c r="I588" s="8">
        <v>190</v>
      </c>
      <c r="J588" s="8"/>
    </row>
    <row r="589" spans="1:10">
      <c r="A589" s="6">
        <v>587</v>
      </c>
      <c r="B589" s="6" t="str">
        <f t="shared" si="11"/>
        <v>0103</v>
      </c>
      <c r="C589" s="6" t="s">
        <v>14</v>
      </c>
      <c r="D589" s="6" t="str">
        <f>"何开敏"</f>
        <v>何开敏</v>
      </c>
      <c r="E589" s="6" t="str">
        <f>"202409212129"</f>
        <v>202409212129</v>
      </c>
      <c r="F589" s="6" t="str">
        <f>"21"</f>
        <v>21</v>
      </c>
      <c r="G589" s="6" t="str">
        <f>"29"</f>
        <v>29</v>
      </c>
      <c r="H589" s="7">
        <v>50.96</v>
      </c>
      <c r="I589" s="8">
        <v>191</v>
      </c>
      <c r="J589" s="8"/>
    </row>
    <row r="590" spans="1:10">
      <c r="A590" s="6">
        <v>588</v>
      </c>
      <c r="B590" s="6" t="str">
        <f t="shared" si="11"/>
        <v>0103</v>
      </c>
      <c r="C590" s="6" t="s">
        <v>14</v>
      </c>
      <c r="D590" s="6" t="str">
        <f>"吕静"</f>
        <v>吕静</v>
      </c>
      <c r="E590" s="6" t="str">
        <f>"202409211805"</f>
        <v>202409211805</v>
      </c>
      <c r="F590" s="6" t="str">
        <f>"18"</f>
        <v>18</v>
      </c>
      <c r="G590" s="6" t="str">
        <f>"05"</f>
        <v>05</v>
      </c>
      <c r="H590" s="7">
        <v>50.77</v>
      </c>
      <c r="I590" s="8">
        <v>192</v>
      </c>
      <c r="J590" s="8"/>
    </row>
    <row r="591" spans="1:10">
      <c r="A591" s="6">
        <v>589</v>
      </c>
      <c r="B591" s="6" t="str">
        <f t="shared" ref="B591:B654" si="12">"0103"</f>
        <v>0103</v>
      </c>
      <c r="C591" s="6" t="s">
        <v>14</v>
      </c>
      <c r="D591" s="6" t="str">
        <f>"桂冰"</f>
        <v>桂冰</v>
      </c>
      <c r="E591" s="6" t="str">
        <f>"202409211528"</f>
        <v>202409211528</v>
      </c>
      <c r="F591" s="6" t="str">
        <f>"15"</f>
        <v>15</v>
      </c>
      <c r="G591" s="6" t="str">
        <f>"28"</f>
        <v>28</v>
      </c>
      <c r="H591" s="7">
        <v>50.65</v>
      </c>
      <c r="I591" s="8">
        <v>193</v>
      </c>
      <c r="J591" s="8"/>
    </row>
    <row r="592" spans="1:10">
      <c r="A592" s="6">
        <v>590</v>
      </c>
      <c r="B592" s="6" t="str">
        <f t="shared" si="12"/>
        <v>0103</v>
      </c>
      <c r="C592" s="6" t="s">
        <v>14</v>
      </c>
      <c r="D592" s="6" t="str">
        <f>"肖桂玉"</f>
        <v>肖桂玉</v>
      </c>
      <c r="E592" s="6" t="str">
        <f>"202409212321"</f>
        <v>202409212321</v>
      </c>
      <c r="F592" s="6" t="str">
        <f>"23"</f>
        <v>23</v>
      </c>
      <c r="G592" s="6" t="str">
        <f>"21"</f>
        <v>21</v>
      </c>
      <c r="H592" s="7">
        <v>50.48</v>
      </c>
      <c r="I592" s="8">
        <v>194</v>
      </c>
      <c r="J592" s="8"/>
    </row>
    <row r="593" spans="1:10">
      <c r="A593" s="6">
        <v>591</v>
      </c>
      <c r="B593" s="6" t="str">
        <f t="shared" si="12"/>
        <v>0103</v>
      </c>
      <c r="C593" s="6" t="s">
        <v>14</v>
      </c>
      <c r="D593" s="6" t="str">
        <f>"王赛盈"</f>
        <v>王赛盈</v>
      </c>
      <c r="E593" s="6" t="str">
        <f>"202409211619"</f>
        <v>202409211619</v>
      </c>
      <c r="F593" s="6" t="str">
        <f>"16"</f>
        <v>16</v>
      </c>
      <c r="G593" s="6" t="str">
        <f>"19"</f>
        <v>19</v>
      </c>
      <c r="H593" s="7">
        <v>50.47</v>
      </c>
      <c r="I593" s="8">
        <v>195</v>
      </c>
      <c r="J593" s="8"/>
    </row>
    <row r="594" spans="1:10">
      <c r="A594" s="6">
        <v>592</v>
      </c>
      <c r="B594" s="6" t="str">
        <f t="shared" si="12"/>
        <v>0103</v>
      </c>
      <c r="C594" s="6" t="s">
        <v>14</v>
      </c>
      <c r="D594" s="6" t="str">
        <f>"王婕"</f>
        <v>王婕</v>
      </c>
      <c r="E594" s="6" t="str">
        <f>"202409211808"</f>
        <v>202409211808</v>
      </c>
      <c r="F594" s="6" t="str">
        <f>"18"</f>
        <v>18</v>
      </c>
      <c r="G594" s="6" t="str">
        <f>"08"</f>
        <v>08</v>
      </c>
      <c r="H594" s="7">
        <v>50.44</v>
      </c>
      <c r="I594" s="8">
        <v>196</v>
      </c>
      <c r="J594" s="8"/>
    </row>
    <row r="595" spans="1:10">
      <c r="A595" s="6">
        <v>593</v>
      </c>
      <c r="B595" s="6" t="str">
        <f t="shared" si="12"/>
        <v>0103</v>
      </c>
      <c r="C595" s="6" t="s">
        <v>14</v>
      </c>
      <c r="D595" s="6" t="str">
        <f>"吴海流"</f>
        <v>吴海流</v>
      </c>
      <c r="E595" s="6" t="str">
        <f>"202409211413"</f>
        <v>202409211413</v>
      </c>
      <c r="F595" s="6" t="str">
        <f>"14"</f>
        <v>14</v>
      </c>
      <c r="G595" s="6" t="str">
        <f>"13"</f>
        <v>13</v>
      </c>
      <c r="H595" s="7">
        <v>50.32</v>
      </c>
      <c r="I595" s="8">
        <v>197</v>
      </c>
      <c r="J595" s="8"/>
    </row>
    <row r="596" spans="1:10">
      <c r="A596" s="6">
        <v>594</v>
      </c>
      <c r="B596" s="6" t="str">
        <f t="shared" si="12"/>
        <v>0103</v>
      </c>
      <c r="C596" s="6" t="s">
        <v>14</v>
      </c>
      <c r="D596" s="6" t="str">
        <f>"陈美儒"</f>
        <v>陈美儒</v>
      </c>
      <c r="E596" s="6" t="str">
        <f>"202409212002"</f>
        <v>202409212002</v>
      </c>
      <c r="F596" s="6" t="str">
        <f>"20"</f>
        <v>20</v>
      </c>
      <c r="G596" s="6" t="str">
        <f>"02"</f>
        <v>02</v>
      </c>
      <c r="H596" s="7">
        <v>50.09</v>
      </c>
      <c r="I596" s="8">
        <v>198</v>
      </c>
      <c r="J596" s="8"/>
    </row>
    <row r="597" spans="1:10">
      <c r="A597" s="6">
        <v>595</v>
      </c>
      <c r="B597" s="6" t="str">
        <f t="shared" si="12"/>
        <v>0103</v>
      </c>
      <c r="C597" s="6" t="s">
        <v>14</v>
      </c>
      <c r="D597" s="6" t="str">
        <f>"潘秋蓉"</f>
        <v>潘秋蓉</v>
      </c>
      <c r="E597" s="6" t="str">
        <f>"202409211911"</f>
        <v>202409211911</v>
      </c>
      <c r="F597" s="6" t="str">
        <f>"19"</f>
        <v>19</v>
      </c>
      <c r="G597" s="6" t="str">
        <f>"11"</f>
        <v>11</v>
      </c>
      <c r="H597" s="7">
        <v>49.94</v>
      </c>
      <c r="I597" s="8">
        <v>199</v>
      </c>
      <c r="J597" s="8"/>
    </row>
    <row r="598" spans="1:10">
      <c r="A598" s="6">
        <v>596</v>
      </c>
      <c r="B598" s="6" t="str">
        <f t="shared" si="12"/>
        <v>0103</v>
      </c>
      <c r="C598" s="6" t="s">
        <v>14</v>
      </c>
      <c r="D598" s="6" t="str">
        <f>"陈巧女"</f>
        <v>陈巧女</v>
      </c>
      <c r="E598" s="6" t="str">
        <f>"202409211929"</f>
        <v>202409211929</v>
      </c>
      <c r="F598" s="6" t="str">
        <f>"19"</f>
        <v>19</v>
      </c>
      <c r="G598" s="6" t="str">
        <f>"29"</f>
        <v>29</v>
      </c>
      <c r="H598" s="7">
        <v>49.62</v>
      </c>
      <c r="I598" s="8">
        <v>200</v>
      </c>
      <c r="J598" s="8"/>
    </row>
    <row r="599" spans="1:10">
      <c r="A599" s="6">
        <v>597</v>
      </c>
      <c r="B599" s="6" t="str">
        <f t="shared" si="12"/>
        <v>0103</v>
      </c>
      <c r="C599" s="6" t="s">
        <v>14</v>
      </c>
      <c r="D599" s="6" t="str">
        <f>"史苗苗"</f>
        <v>史苗苗</v>
      </c>
      <c r="E599" s="6" t="str">
        <f>"202409212113"</f>
        <v>202409212113</v>
      </c>
      <c r="F599" s="6" t="str">
        <f>"21"</f>
        <v>21</v>
      </c>
      <c r="G599" s="6" t="str">
        <f>"13"</f>
        <v>13</v>
      </c>
      <c r="H599" s="7">
        <v>49.6</v>
      </c>
      <c r="I599" s="8">
        <v>201</v>
      </c>
      <c r="J599" s="8"/>
    </row>
    <row r="600" spans="1:10">
      <c r="A600" s="6">
        <v>598</v>
      </c>
      <c r="B600" s="6" t="str">
        <f t="shared" si="12"/>
        <v>0103</v>
      </c>
      <c r="C600" s="6" t="s">
        <v>14</v>
      </c>
      <c r="D600" s="6" t="str">
        <f>"戴丽妹"</f>
        <v>戴丽妹</v>
      </c>
      <c r="E600" s="6" t="str">
        <f>"202409211521"</f>
        <v>202409211521</v>
      </c>
      <c r="F600" s="6" t="str">
        <f>"15"</f>
        <v>15</v>
      </c>
      <c r="G600" s="6" t="str">
        <f>"21"</f>
        <v>21</v>
      </c>
      <c r="H600" s="7">
        <v>49.57</v>
      </c>
      <c r="I600" s="8">
        <v>202</v>
      </c>
      <c r="J600" s="8"/>
    </row>
    <row r="601" spans="1:10">
      <c r="A601" s="6">
        <v>599</v>
      </c>
      <c r="B601" s="6" t="str">
        <f t="shared" si="12"/>
        <v>0103</v>
      </c>
      <c r="C601" s="6" t="s">
        <v>14</v>
      </c>
      <c r="D601" s="6" t="str">
        <f>"羊庆妍"</f>
        <v>羊庆妍</v>
      </c>
      <c r="E601" s="6" t="str">
        <f>"202409212108"</f>
        <v>202409212108</v>
      </c>
      <c r="F601" s="6" t="str">
        <f>"21"</f>
        <v>21</v>
      </c>
      <c r="G601" s="6" t="str">
        <f>"08"</f>
        <v>08</v>
      </c>
      <c r="H601" s="7">
        <v>49.56</v>
      </c>
      <c r="I601" s="8">
        <v>203</v>
      </c>
      <c r="J601" s="8"/>
    </row>
    <row r="602" spans="1:10">
      <c r="A602" s="6">
        <v>600</v>
      </c>
      <c r="B602" s="6" t="str">
        <f t="shared" si="12"/>
        <v>0103</v>
      </c>
      <c r="C602" s="6" t="s">
        <v>14</v>
      </c>
      <c r="D602" s="6" t="str">
        <f>"洪秋"</f>
        <v>洪秋</v>
      </c>
      <c r="E602" s="6" t="str">
        <f>"202409211919"</f>
        <v>202409211919</v>
      </c>
      <c r="F602" s="6" t="str">
        <f>"19"</f>
        <v>19</v>
      </c>
      <c r="G602" s="6" t="str">
        <f>"19"</f>
        <v>19</v>
      </c>
      <c r="H602" s="7">
        <v>49.27</v>
      </c>
      <c r="I602" s="8">
        <v>204</v>
      </c>
      <c r="J602" s="8"/>
    </row>
    <row r="603" spans="1:10">
      <c r="A603" s="6">
        <v>601</v>
      </c>
      <c r="B603" s="6" t="str">
        <f t="shared" si="12"/>
        <v>0103</v>
      </c>
      <c r="C603" s="6" t="s">
        <v>14</v>
      </c>
      <c r="D603" s="6" t="str">
        <f>"王苑颖"</f>
        <v>王苑颖</v>
      </c>
      <c r="E603" s="6" t="str">
        <f>"202409212016"</f>
        <v>202409212016</v>
      </c>
      <c r="F603" s="6" t="str">
        <f>"20"</f>
        <v>20</v>
      </c>
      <c r="G603" s="6" t="str">
        <f>"16"</f>
        <v>16</v>
      </c>
      <c r="H603" s="7">
        <v>49.2</v>
      </c>
      <c r="I603" s="8">
        <v>205</v>
      </c>
      <c r="J603" s="8"/>
    </row>
    <row r="604" spans="1:10">
      <c r="A604" s="6">
        <v>602</v>
      </c>
      <c r="B604" s="6" t="str">
        <f t="shared" si="12"/>
        <v>0103</v>
      </c>
      <c r="C604" s="6" t="s">
        <v>14</v>
      </c>
      <c r="D604" s="6" t="str">
        <f>"周文娜"</f>
        <v>周文娜</v>
      </c>
      <c r="E604" s="6" t="str">
        <f>"202409211908"</f>
        <v>202409211908</v>
      </c>
      <c r="F604" s="6" t="str">
        <f>"19"</f>
        <v>19</v>
      </c>
      <c r="G604" s="6" t="str">
        <f>"08"</f>
        <v>08</v>
      </c>
      <c r="H604" s="7">
        <v>49.01</v>
      </c>
      <c r="I604" s="8">
        <v>206</v>
      </c>
      <c r="J604" s="8"/>
    </row>
    <row r="605" spans="1:10">
      <c r="A605" s="6">
        <v>603</v>
      </c>
      <c r="B605" s="6" t="str">
        <f t="shared" si="12"/>
        <v>0103</v>
      </c>
      <c r="C605" s="6" t="s">
        <v>14</v>
      </c>
      <c r="D605" s="6" t="str">
        <f>"饶熠昕"</f>
        <v>饶熠昕</v>
      </c>
      <c r="E605" s="6" t="str">
        <f>"202409211922"</f>
        <v>202409211922</v>
      </c>
      <c r="F605" s="6" t="str">
        <f>"19"</f>
        <v>19</v>
      </c>
      <c r="G605" s="6" t="str">
        <f>"22"</f>
        <v>22</v>
      </c>
      <c r="H605" s="7">
        <v>48.9</v>
      </c>
      <c r="I605" s="8">
        <v>207</v>
      </c>
      <c r="J605" s="8"/>
    </row>
    <row r="606" spans="1:10">
      <c r="A606" s="6">
        <v>604</v>
      </c>
      <c r="B606" s="6" t="str">
        <f t="shared" si="12"/>
        <v>0103</v>
      </c>
      <c r="C606" s="6" t="s">
        <v>14</v>
      </c>
      <c r="D606" s="6" t="str">
        <f>"李林蓉"</f>
        <v>李林蓉</v>
      </c>
      <c r="E606" s="6" t="str">
        <f>"202409212202"</f>
        <v>202409212202</v>
      </c>
      <c r="F606" s="6" t="str">
        <f>"22"</f>
        <v>22</v>
      </c>
      <c r="G606" s="6" t="str">
        <f>"02"</f>
        <v>02</v>
      </c>
      <c r="H606" s="7">
        <v>48.78</v>
      </c>
      <c r="I606" s="8">
        <v>208</v>
      </c>
      <c r="J606" s="8"/>
    </row>
    <row r="607" spans="1:10">
      <c r="A607" s="6">
        <v>605</v>
      </c>
      <c r="B607" s="6" t="str">
        <f t="shared" si="12"/>
        <v>0103</v>
      </c>
      <c r="C607" s="6" t="s">
        <v>14</v>
      </c>
      <c r="D607" s="6" t="str">
        <f>"韩笛"</f>
        <v>韩笛</v>
      </c>
      <c r="E607" s="6" t="str">
        <f>"202409211627"</f>
        <v>202409211627</v>
      </c>
      <c r="F607" s="6" t="str">
        <f>"16"</f>
        <v>16</v>
      </c>
      <c r="G607" s="6" t="str">
        <f>"27"</f>
        <v>27</v>
      </c>
      <c r="H607" s="7">
        <v>48.58</v>
      </c>
      <c r="I607" s="8">
        <v>209</v>
      </c>
      <c r="J607" s="8"/>
    </row>
    <row r="608" spans="1:10">
      <c r="A608" s="6">
        <v>606</v>
      </c>
      <c r="B608" s="6" t="str">
        <f t="shared" si="12"/>
        <v>0103</v>
      </c>
      <c r="C608" s="6" t="s">
        <v>14</v>
      </c>
      <c r="D608" s="6" t="str">
        <f>"廖梅玲"</f>
        <v>廖梅玲</v>
      </c>
      <c r="E608" s="6" t="str">
        <f>"202409212119"</f>
        <v>202409212119</v>
      </c>
      <c r="F608" s="6" t="str">
        <f>"21"</f>
        <v>21</v>
      </c>
      <c r="G608" s="6" t="str">
        <f>"19"</f>
        <v>19</v>
      </c>
      <c r="H608" s="7">
        <v>48.29</v>
      </c>
      <c r="I608" s="8">
        <v>210</v>
      </c>
      <c r="J608" s="8"/>
    </row>
    <row r="609" spans="1:10">
      <c r="A609" s="6">
        <v>607</v>
      </c>
      <c r="B609" s="6" t="str">
        <f t="shared" si="12"/>
        <v>0103</v>
      </c>
      <c r="C609" s="6" t="s">
        <v>14</v>
      </c>
      <c r="D609" s="6" t="str">
        <f>"陈玉翠"</f>
        <v>陈玉翠</v>
      </c>
      <c r="E609" s="6" t="str">
        <f>"202409212121"</f>
        <v>202409212121</v>
      </c>
      <c r="F609" s="6" t="str">
        <f>"21"</f>
        <v>21</v>
      </c>
      <c r="G609" s="6" t="str">
        <f>"21"</f>
        <v>21</v>
      </c>
      <c r="H609" s="7">
        <v>48.18</v>
      </c>
      <c r="I609" s="8">
        <v>211</v>
      </c>
      <c r="J609" s="8"/>
    </row>
    <row r="610" spans="1:10">
      <c r="A610" s="6">
        <v>608</v>
      </c>
      <c r="B610" s="6" t="str">
        <f t="shared" si="12"/>
        <v>0103</v>
      </c>
      <c r="C610" s="6" t="s">
        <v>14</v>
      </c>
      <c r="D610" s="6" t="str">
        <f>"王智敏"</f>
        <v>王智敏</v>
      </c>
      <c r="E610" s="6" t="str">
        <f>"202409211415"</f>
        <v>202409211415</v>
      </c>
      <c r="F610" s="6" t="str">
        <f>"14"</f>
        <v>14</v>
      </c>
      <c r="G610" s="6" t="str">
        <f>"15"</f>
        <v>15</v>
      </c>
      <c r="H610" s="7">
        <v>48.11</v>
      </c>
      <c r="I610" s="8">
        <v>212</v>
      </c>
      <c r="J610" s="8"/>
    </row>
    <row r="611" spans="1:10">
      <c r="A611" s="6">
        <v>609</v>
      </c>
      <c r="B611" s="6" t="str">
        <f t="shared" si="12"/>
        <v>0103</v>
      </c>
      <c r="C611" s="6" t="s">
        <v>14</v>
      </c>
      <c r="D611" s="6" t="str">
        <f>"周爱玉"</f>
        <v>周爱玉</v>
      </c>
      <c r="E611" s="6" t="str">
        <f>"202409211918"</f>
        <v>202409211918</v>
      </c>
      <c r="F611" s="6" t="str">
        <f>"19"</f>
        <v>19</v>
      </c>
      <c r="G611" s="6" t="str">
        <f>"18"</f>
        <v>18</v>
      </c>
      <c r="H611" s="7">
        <v>48.11</v>
      </c>
      <c r="I611" s="8">
        <v>213</v>
      </c>
      <c r="J611" s="8"/>
    </row>
    <row r="612" spans="1:10">
      <c r="A612" s="6">
        <v>610</v>
      </c>
      <c r="B612" s="6" t="str">
        <f t="shared" si="12"/>
        <v>0103</v>
      </c>
      <c r="C612" s="6" t="s">
        <v>14</v>
      </c>
      <c r="D612" s="6" t="str">
        <f>"钟海俐"</f>
        <v>钟海俐</v>
      </c>
      <c r="E612" s="6" t="str">
        <f>"202409211626"</f>
        <v>202409211626</v>
      </c>
      <c r="F612" s="6" t="str">
        <f>"16"</f>
        <v>16</v>
      </c>
      <c r="G612" s="6" t="str">
        <f>"26"</f>
        <v>26</v>
      </c>
      <c r="H612" s="7">
        <v>48.07</v>
      </c>
      <c r="I612" s="8">
        <v>214</v>
      </c>
      <c r="J612" s="8"/>
    </row>
    <row r="613" spans="1:10">
      <c r="A613" s="6">
        <v>611</v>
      </c>
      <c r="B613" s="6" t="str">
        <f t="shared" si="12"/>
        <v>0103</v>
      </c>
      <c r="C613" s="6" t="s">
        <v>14</v>
      </c>
      <c r="D613" s="6" t="str">
        <f>"陈川丽"</f>
        <v>陈川丽</v>
      </c>
      <c r="E613" s="6" t="str">
        <f>"202409211620"</f>
        <v>202409211620</v>
      </c>
      <c r="F613" s="6" t="str">
        <f>"16"</f>
        <v>16</v>
      </c>
      <c r="G613" s="6" t="str">
        <f>"20"</f>
        <v>20</v>
      </c>
      <c r="H613" s="7">
        <v>48.04</v>
      </c>
      <c r="I613" s="8">
        <v>215</v>
      </c>
      <c r="J613" s="8"/>
    </row>
    <row r="614" spans="1:10">
      <c r="A614" s="6">
        <v>612</v>
      </c>
      <c r="B614" s="6" t="str">
        <f t="shared" si="12"/>
        <v>0103</v>
      </c>
      <c r="C614" s="6" t="s">
        <v>14</v>
      </c>
      <c r="D614" s="6" t="str">
        <f>"程婕"</f>
        <v>程婕</v>
      </c>
      <c r="E614" s="6" t="str">
        <f>"202409211706"</f>
        <v>202409211706</v>
      </c>
      <c r="F614" s="6" t="str">
        <f>"17"</f>
        <v>17</v>
      </c>
      <c r="G614" s="6" t="str">
        <f>"06"</f>
        <v>06</v>
      </c>
      <c r="H614" s="7">
        <v>48.02</v>
      </c>
      <c r="I614" s="8">
        <v>216</v>
      </c>
      <c r="J614" s="8"/>
    </row>
    <row r="615" spans="1:10">
      <c r="A615" s="6">
        <v>613</v>
      </c>
      <c r="B615" s="6" t="str">
        <f t="shared" si="12"/>
        <v>0103</v>
      </c>
      <c r="C615" s="6" t="s">
        <v>14</v>
      </c>
      <c r="D615" s="6" t="str">
        <f>"张春宜"</f>
        <v>张春宜</v>
      </c>
      <c r="E615" s="6" t="str">
        <f>"202409212106"</f>
        <v>202409212106</v>
      </c>
      <c r="F615" s="6" t="str">
        <f>"21"</f>
        <v>21</v>
      </c>
      <c r="G615" s="6" t="str">
        <f>"06"</f>
        <v>06</v>
      </c>
      <c r="H615" s="7">
        <v>47.86</v>
      </c>
      <c r="I615" s="8">
        <v>217</v>
      </c>
      <c r="J615" s="8"/>
    </row>
    <row r="616" spans="1:10">
      <c r="A616" s="6">
        <v>614</v>
      </c>
      <c r="B616" s="6" t="str">
        <f t="shared" si="12"/>
        <v>0103</v>
      </c>
      <c r="C616" s="6" t="s">
        <v>14</v>
      </c>
      <c r="D616" s="6" t="str">
        <f>"方莉"</f>
        <v>方莉</v>
      </c>
      <c r="E616" s="6" t="str">
        <f>"202409212005"</f>
        <v>202409212005</v>
      </c>
      <c r="F616" s="6" t="str">
        <f>"20"</f>
        <v>20</v>
      </c>
      <c r="G616" s="6" t="str">
        <f>"05"</f>
        <v>05</v>
      </c>
      <c r="H616" s="7">
        <v>47.73</v>
      </c>
      <c r="I616" s="8">
        <v>218</v>
      </c>
      <c r="J616" s="8"/>
    </row>
    <row r="617" spans="1:10">
      <c r="A617" s="6">
        <v>615</v>
      </c>
      <c r="B617" s="6" t="str">
        <f t="shared" si="12"/>
        <v>0103</v>
      </c>
      <c r="C617" s="6" t="s">
        <v>14</v>
      </c>
      <c r="D617" s="6" t="str">
        <f>"符桃果"</f>
        <v>符桃果</v>
      </c>
      <c r="E617" s="6" t="str">
        <f>"202409211421"</f>
        <v>202409211421</v>
      </c>
      <c r="F617" s="6" t="str">
        <f>"14"</f>
        <v>14</v>
      </c>
      <c r="G617" s="6" t="str">
        <f>"21"</f>
        <v>21</v>
      </c>
      <c r="H617" s="7">
        <v>47.72</v>
      </c>
      <c r="I617" s="8">
        <v>219</v>
      </c>
      <c r="J617" s="8"/>
    </row>
    <row r="618" spans="1:10">
      <c r="A618" s="6">
        <v>616</v>
      </c>
      <c r="B618" s="6" t="str">
        <f t="shared" si="12"/>
        <v>0103</v>
      </c>
      <c r="C618" s="6" t="s">
        <v>14</v>
      </c>
      <c r="D618" s="6" t="str">
        <f>"林莹莹"</f>
        <v>林莹莹</v>
      </c>
      <c r="E618" s="6" t="str">
        <f>"202409211516"</f>
        <v>202409211516</v>
      </c>
      <c r="F618" s="6" t="str">
        <f>"15"</f>
        <v>15</v>
      </c>
      <c r="G618" s="6" t="str">
        <f>"16"</f>
        <v>16</v>
      </c>
      <c r="H618" s="7">
        <v>47.59</v>
      </c>
      <c r="I618" s="8">
        <v>220</v>
      </c>
      <c r="J618" s="8"/>
    </row>
    <row r="619" spans="1:10">
      <c r="A619" s="6">
        <v>617</v>
      </c>
      <c r="B619" s="6" t="str">
        <f t="shared" si="12"/>
        <v>0103</v>
      </c>
      <c r="C619" s="6" t="s">
        <v>14</v>
      </c>
      <c r="D619" s="6" t="str">
        <f>"杨小红"</f>
        <v>杨小红</v>
      </c>
      <c r="E619" s="6" t="str">
        <f>"202409211611"</f>
        <v>202409211611</v>
      </c>
      <c r="F619" s="6" t="str">
        <f>"16"</f>
        <v>16</v>
      </c>
      <c r="G619" s="6" t="str">
        <f>"11"</f>
        <v>11</v>
      </c>
      <c r="H619" s="7">
        <v>47.58</v>
      </c>
      <c r="I619" s="8">
        <v>221</v>
      </c>
      <c r="J619" s="8"/>
    </row>
    <row r="620" spans="1:10">
      <c r="A620" s="6">
        <v>618</v>
      </c>
      <c r="B620" s="6" t="str">
        <f t="shared" si="12"/>
        <v>0103</v>
      </c>
      <c r="C620" s="6" t="s">
        <v>14</v>
      </c>
      <c r="D620" s="6" t="str">
        <f>"雷慧珍"</f>
        <v>雷慧珍</v>
      </c>
      <c r="E620" s="6" t="str">
        <f>"202409212212"</f>
        <v>202409212212</v>
      </c>
      <c r="F620" s="6" t="str">
        <f>"22"</f>
        <v>22</v>
      </c>
      <c r="G620" s="6" t="str">
        <f>"12"</f>
        <v>12</v>
      </c>
      <c r="H620" s="7">
        <v>47.2</v>
      </c>
      <c r="I620" s="8">
        <v>222</v>
      </c>
      <c r="J620" s="8"/>
    </row>
    <row r="621" spans="1:10">
      <c r="A621" s="6">
        <v>619</v>
      </c>
      <c r="B621" s="6" t="str">
        <f t="shared" si="12"/>
        <v>0103</v>
      </c>
      <c r="C621" s="6" t="s">
        <v>14</v>
      </c>
      <c r="D621" s="6" t="str">
        <f>"吴安宁"</f>
        <v>吴安宁</v>
      </c>
      <c r="E621" s="6" t="str">
        <f>"202409211707"</f>
        <v>202409211707</v>
      </c>
      <c r="F621" s="6" t="str">
        <f>"17"</f>
        <v>17</v>
      </c>
      <c r="G621" s="6" t="str">
        <f>"07"</f>
        <v>07</v>
      </c>
      <c r="H621" s="7">
        <v>47.11</v>
      </c>
      <c r="I621" s="8">
        <v>223</v>
      </c>
      <c r="J621" s="8"/>
    </row>
    <row r="622" spans="1:10">
      <c r="A622" s="6">
        <v>620</v>
      </c>
      <c r="B622" s="6" t="str">
        <f t="shared" si="12"/>
        <v>0103</v>
      </c>
      <c r="C622" s="6" t="s">
        <v>14</v>
      </c>
      <c r="D622" s="6" t="str">
        <f>"林佳诗"</f>
        <v>林佳诗</v>
      </c>
      <c r="E622" s="6" t="str">
        <f>"202409212311"</f>
        <v>202409212311</v>
      </c>
      <c r="F622" s="6" t="str">
        <f>"23"</f>
        <v>23</v>
      </c>
      <c r="G622" s="6" t="str">
        <f>"11"</f>
        <v>11</v>
      </c>
      <c r="H622" s="7">
        <v>46.86</v>
      </c>
      <c r="I622" s="8">
        <v>224</v>
      </c>
      <c r="J622" s="8"/>
    </row>
    <row r="623" spans="1:10">
      <c r="A623" s="6">
        <v>621</v>
      </c>
      <c r="B623" s="6" t="str">
        <f t="shared" si="12"/>
        <v>0103</v>
      </c>
      <c r="C623" s="6" t="s">
        <v>14</v>
      </c>
      <c r="D623" s="6" t="str">
        <f>"王雨峥"</f>
        <v>王雨峥</v>
      </c>
      <c r="E623" s="6" t="str">
        <f>"202409211810"</f>
        <v>202409211810</v>
      </c>
      <c r="F623" s="6" t="str">
        <f>"18"</f>
        <v>18</v>
      </c>
      <c r="G623" s="6" t="str">
        <f>"10"</f>
        <v>10</v>
      </c>
      <c r="H623" s="7">
        <v>46.69</v>
      </c>
      <c r="I623" s="8">
        <v>225</v>
      </c>
      <c r="J623" s="8"/>
    </row>
    <row r="624" spans="1:10">
      <c r="A624" s="6">
        <v>622</v>
      </c>
      <c r="B624" s="6" t="str">
        <f t="shared" si="12"/>
        <v>0103</v>
      </c>
      <c r="C624" s="6" t="s">
        <v>14</v>
      </c>
      <c r="D624" s="6" t="str">
        <f>"吴迪"</f>
        <v>吴迪</v>
      </c>
      <c r="E624" s="6" t="str">
        <f>"202409212327"</f>
        <v>202409212327</v>
      </c>
      <c r="F624" s="6" t="str">
        <f>"23"</f>
        <v>23</v>
      </c>
      <c r="G624" s="6" t="str">
        <f>"27"</f>
        <v>27</v>
      </c>
      <c r="H624" s="7">
        <v>46.55</v>
      </c>
      <c r="I624" s="8">
        <v>226</v>
      </c>
      <c r="J624" s="8"/>
    </row>
    <row r="625" spans="1:10">
      <c r="A625" s="6">
        <v>623</v>
      </c>
      <c r="B625" s="6" t="str">
        <f t="shared" si="12"/>
        <v>0103</v>
      </c>
      <c r="C625" s="6" t="s">
        <v>14</v>
      </c>
      <c r="D625" s="6" t="str">
        <f>"刘众梅"</f>
        <v>刘众梅</v>
      </c>
      <c r="E625" s="6" t="str">
        <f>"202409211702"</f>
        <v>202409211702</v>
      </c>
      <c r="F625" s="6" t="str">
        <f>"17"</f>
        <v>17</v>
      </c>
      <c r="G625" s="6" t="str">
        <f>"02"</f>
        <v>02</v>
      </c>
      <c r="H625" s="7">
        <v>46.13</v>
      </c>
      <c r="I625" s="8">
        <v>227</v>
      </c>
      <c r="J625" s="8"/>
    </row>
    <row r="626" spans="1:10">
      <c r="A626" s="6">
        <v>624</v>
      </c>
      <c r="B626" s="6" t="str">
        <f t="shared" si="12"/>
        <v>0103</v>
      </c>
      <c r="C626" s="6" t="s">
        <v>14</v>
      </c>
      <c r="D626" s="6" t="str">
        <f>"符大紫"</f>
        <v>符大紫</v>
      </c>
      <c r="E626" s="6" t="str">
        <f>"202409211721"</f>
        <v>202409211721</v>
      </c>
      <c r="F626" s="6" t="str">
        <f>"17"</f>
        <v>17</v>
      </c>
      <c r="G626" s="6" t="str">
        <f>"21"</f>
        <v>21</v>
      </c>
      <c r="H626" s="7">
        <v>45.75</v>
      </c>
      <c r="I626" s="8">
        <v>228</v>
      </c>
      <c r="J626" s="8"/>
    </row>
    <row r="627" spans="1:10">
      <c r="A627" s="6">
        <v>625</v>
      </c>
      <c r="B627" s="6" t="str">
        <f t="shared" si="12"/>
        <v>0103</v>
      </c>
      <c r="C627" s="6" t="s">
        <v>14</v>
      </c>
      <c r="D627" s="6" t="str">
        <f>"王晶"</f>
        <v>王晶</v>
      </c>
      <c r="E627" s="6" t="str">
        <f>"202409211818"</f>
        <v>202409211818</v>
      </c>
      <c r="F627" s="6" t="str">
        <f>"18"</f>
        <v>18</v>
      </c>
      <c r="G627" s="6" t="str">
        <f>"18"</f>
        <v>18</v>
      </c>
      <c r="H627" s="7">
        <v>45.29</v>
      </c>
      <c r="I627" s="8">
        <v>229</v>
      </c>
      <c r="J627" s="8"/>
    </row>
    <row r="628" spans="1:10">
      <c r="A628" s="6">
        <v>626</v>
      </c>
      <c r="B628" s="6" t="str">
        <f t="shared" si="12"/>
        <v>0103</v>
      </c>
      <c r="C628" s="6" t="s">
        <v>14</v>
      </c>
      <c r="D628" s="6" t="str">
        <f>"吴淑咪"</f>
        <v>吴淑咪</v>
      </c>
      <c r="E628" s="6" t="str">
        <f>"202409212022"</f>
        <v>202409212022</v>
      </c>
      <c r="F628" s="6" t="str">
        <f>"20"</f>
        <v>20</v>
      </c>
      <c r="G628" s="6" t="str">
        <f>"22"</f>
        <v>22</v>
      </c>
      <c r="H628" s="7">
        <v>45.17</v>
      </c>
      <c r="I628" s="8">
        <v>230</v>
      </c>
      <c r="J628" s="8"/>
    </row>
    <row r="629" spans="1:10">
      <c r="A629" s="6">
        <v>627</v>
      </c>
      <c r="B629" s="6" t="str">
        <f t="shared" si="12"/>
        <v>0103</v>
      </c>
      <c r="C629" s="6" t="s">
        <v>14</v>
      </c>
      <c r="D629" s="6" t="str">
        <f>"郑月宛"</f>
        <v>郑月宛</v>
      </c>
      <c r="E629" s="6" t="str">
        <f>"202409211612"</f>
        <v>202409211612</v>
      </c>
      <c r="F629" s="6" t="str">
        <f>"16"</f>
        <v>16</v>
      </c>
      <c r="G629" s="6" t="str">
        <f>"12"</f>
        <v>12</v>
      </c>
      <c r="H629" s="7">
        <v>44.85</v>
      </c>
      <c r="I629" s="8">
        <v>231</v>
      </c>
      <c r="J629" s="8"/>
    </row>
    <row r="630" spans="1:10">
      <c r="A630" s="6">
        <v>628</v>
      </c>
      <c r="B630" s="6" t="str">
        <f t="shared" si="12"/>
        <v>0103</v>
      </c>
      <c r="C630" s="6" t="s">
        <v>14</v>
      </c>
      <c r="D630" s="6" t="str">
        <f>"黄仪"</f>
        <v>黄仪</v>
      </c>
      <c r="E630" s="6" t="str">
        <f>"202409211708"</f>
        <v>202409211708</v>
      </c>
      <c r="F630" s="6" t="str">
        <f>"17"</f>
        <v>17</v>
      </c>
      <c r="G630" s="6" t="str">
        <f>"08"</f>
        <v>08</v>
      </c>
      <c r="H630" s="7">
        <v>44.62</v>
      </c>
      <c r="I630" s="8">
        <v>232</v>
      </c>
      <c r="J630" s="8"/>
    </row>
    <row r="631" spans="1:10">
      <c r="A631" s="6">
        <v>629</v>
      </c>
      <c r="B631" s="6" t="str">
        <f t="shared" si="12"/>
        <v>0103</v>
      </c>
      <c r="C631" s="6" t="s">
        <v>14</v>
      </c>
      <c r="D631" s="6" t="str">
        <f>"蔡惠珍"</f>
        <v>蔡惠珍</v>
      </c>
      <c r="E631" s="6" t="str">
        <f>"202409212226"</f>
        <v>202409212226</v>
      </c>
      <c r="F631" s="6" t="str">
        <f>"22"</f>
        <v>22</v>
      </c>
      <c r="G631" s="6" t="str">
        <f>"26"</f>
        <v>26</v>
      </c>
      <c r="H631" s="7">
        <v>44.45</v>
      </c>
      <c r="I631" s="8">
        <v>233</v>
      </c>
      <c r="J631" s="8"/>
    </row>
    <row r="632" spans="1:10">
      <c r="A632" s="6">
        <v>630</v>
      </c>
      <c r="B632" s="6" t="str">
        <f t="shared" si="12"/>
        <v>0103</v>
      </c>
      <c r="C632" s="6" t="s">
        <v>14</v>
      </c>
      <c r="D632" s="6" t="str">
        <f>"钟慧"</f>
        <v>钟慧</v>
      </c>
      <c r="E632" s="6" t="str">
        <f>"202409211429"</f>
        <v>202409211429</v>
      </c>
      <c r="F632" s="6" t="str">
        <f>"14"</f>
        <v>14</v>
      </c>
      <c r="G632" s="6" t="str">
        <f>"29"</f>
        <v>29</v>
      </c>
      <c r="H632" s="7">
        <v>44.31</v>
      </c>
      <c r="I632" s="8">
        <v>234</v>
      </c>
      <c r="J632" s="8"/>
    </row>
    <row r="633" spans="1:10">
      <c r="A633" s="6">
        <v>631</v>
      </c>
      <c r="B633" s="6" t="str">
        <f t="shared" si="12"/>
        <v>0103</v>
      </c>
      <c r="C633" s="6" t="s">
        <v>14</v>
      </c>
      <c r="D633" s="6" t="str">
        <f>"王明云"</f>
        <v>王明云</v>
      </c>
      <c r="E633" s="6" t="str">
        <f>"202409212304"</f>
        <v>202409212304</v>
      </c>
      <c r="F633" s="6" t="str">
        <f>"23"</f>
        <v>23</v>
      </c>
      <c r="G633" s="6" t="str">
        <f>"04"</f>
        <v>04</v>
      </c>
      <c r="H633" s="7">
        <v>44.21</v>
      </c>
      <c r="I633" s="8">
        <v>235</v>
      </c>
      <c r="J633" s="8"/>
    </row>
    <row r="634" spans="1:10">
      <c r="A634" s="6">
        <v>632</v>
      </c>
      <c r="B634" s="6" t="str">
        <f t="shared" si="12"/>
        <v>0103</v>
      </c>
      <c r="C634" s="6" t="s">
        <v>14</v>
      </c>
      <c r="D634" s="6" t="str">
        <f>"梁富桂"</f>
        <v>梁富桂</v>
      </c>
      <c r="E634" s="6" t="str">
        <f>"202409211422"</f>
        <v>202409211422</v>
      </c>
      <c r="F634" s="6" t="str">
        <f>"14"</f>
        <v>14</v>
      </c>
      <c r="G634" s="6" t="str">
        <f>"22"</f>
        <v>22</v>
      </c>
      <c r="H634" s="7">
        <v>44.17</v>
      </c>
      <c r="I634" s="8">
        <v>236</v>
      </c>
      <c r="J634" s="8"/>
    </row>
    <row r="635" spans="1:10">
      <c r="A635" s="6">
        <v>633</v>
      </c>
      <c r="B635" s="6" t="str">
        <f t="shared" si="12"/>
        <v>0103</v>
      </c>
      <c r="C635" s="6" t="s">
        <v>14</v>
      </c>
      <c r="D635" s="6" t="str">
        <f>"王丽勤"</f>
        <v>王丽勤</v>
      </c>
      <c r="E635" s="6" t="str">
        <f>"202409211824"</f>
        <v>202409211824</v>
      </c>
      <c r="F635" s="6" t="str">
        <f>"18"</f>
        <v>18</v>
      </c>
      <c r="G635" s="6" t="str">
        <f>"24"</f>
        <v>24</v>
      </c>
      <c r="H635" s="7">
        <v>43.87</v>
      </c>
      <c r="I635" s="8">
        <v>237</v>
      </c>
      <c r="J635" s="8"/>
    </row>
    <row r="636" spans="1:10">
      <c r="A636" s="6">
        <v>634</v>
      </c>
      <c r="B636" s="6" t="str">
        <f t="shared" si="12"/>
        <v>0103</v>
      </c>
      <c r="C636" s="6" t="s">
        <v>14</v>
      </c>
      <c r="D636" s="6" t="str">
        <f>"韩晓姬"</f>
        <v>韩晓姬</v>
      </c>
      <c r="E636" s="6" t="str">
        <f>"202409212114"</f>
        <v>202409212114</v>
      </c>
      <c r="F636" s="6" t="str">
        <f>"21"</f>
        <v>21</v>
      </c>
      <c r="G636" s="6" t="str">
        <f>"14"</f>
        <v>14</v>
      </c>
      <c r="H636" s="7">
        <v>43.65</v>
      </c>
      <c r="I636" s="8">
        <v>238</v>
      </c>
      <c r="J636" s="8"/>
    </row>
    <row r="637" spans="1:10">
      <c r="A637" s="6">
        <v>635</v>
      </c>
      <c r="B637" s="6" t="str">
        <f t="shared" si="12"/>
        <v>0103</v>
      </c>
      <c r="C637" s="6" t="s">
        <v>14</v>
      </c>
      <c r="D637" s="6" t="str">
        <f>"张帅丽"</f>
        <v>张帅丽</v>
      </c>
      <c r="E637" s="6" t="str">
        <f>"202409211920"</f>
        <v>202409211920</v>
      </c>
      <c r="F637" s="6" t="str">
        <f>"19"</f>
        <v>19</v>
      </c>
      <c r="G637" s="6" t="str">
        <f>"20"</f>
        <v>20</v>
      </c>
      <c r="H637" s="7">
        <v>43.61</v>
      </c>
      <c r="I637" s="8">
        <v>239</v>
      </c>
      <c r="J637" s="8"/>
    </row>
    <row r="638" spans="1:10">
      <c r="A638" s="6">
        <v>636</v>
      </c>
      <c r="B638" s="6" t="str">
        <f t="shared" si="12"/>
        <v>0103</v>
      </c>
      <c r="C638" s="6" t="s">
        <v>14</v>
      </c>
      <c r="D638" s="6" t="str">
        <f>"杜海波"</f>
        <v>杜海波</v>
      </c>
      <c r="E638" s="6" t="str">
        <f>"202409211601"</f>
        <v>202409211601</v>
      </c>
      <c r="F638" s="6" t="str">
        <f>"16"</f>
        <v>16</v>
      </c>
      <c r="G638" s="6" t="str">
        <f>"01"</f>
        <v>01</v>
      </c>
      <c r="H638" s="7">
        <v>43.59</v>
      </c>
      <c r="I638" s="8">
        <v>240</v>
      </c>
      <c r="J638" s="8"/>
    </row>
    <row r="639" spans="1:10">
      <c r="A639" s="6">
        <v>637</v>
      </c>
      <c r="B639" s="6" t="str">
        <f t="shared" si="12"/>
        <v>0103</v>
      </c>
      <c r="C639" s="6" t="s">
        <v>14</v>
      </c>
      <c r="D639" s="6" t="str">
        <f>"陈梅青"</f>
        <v>陈梅青</v>
      </c>
      <c r="E639" s="6" t="str">
        <f>"202409211518"</f>
        <v>202409211518</v>
      </c>
      <c r="F639" s="6" t="str">
        <f>"15"</f>
        <v>15</v>
      </c>
      <c r="G639" s="6" t="str">
        <f>"18"</f>
        <v>18</v>
      </c>
      <c r="H639" s="7">
        <v>42.45</v>
      </c>
      <c r="I639" s="8">
        <v>241</v>
      </c>
      <c r="J639" s="8"/>
    </row>
    <row r="640" spans="1:10">
      <c r="A640" s="6">
        <v>638</v>
      </c>
      <c r="B640" s="6" t="str">
        <f t="shared" si="12"/>
        <v>0103</v>
      </c>
      <c r="C640" s="6" t="s">
        <v>14</v>
      </c>
      <c r="D640" s="6" t="str">
        <f>"蔡金娥"</f>
        <v>蔡金娥</v>
      </c>
      <c r="E640" s="6" t="str">
        <f>"202409212225"</f>
        <v>202409212225</v>
      </c>
      <c r="F640" s="6" t="str">
        <f>"22"</f>
        <v>22</v>
      </c>
      <c r="G640" s="6" t="str">
        <f>"25"</f>
        <v>25</v>
      </c>
      <c r="H640" s="7">
        <v>41.71</v>
      </c>
      <c r="I640" s="8">
        <v>242</v>
      </c>
      <c r="J640" s="8"/>
    </row>
    <row r="641" spans="1:10">
      <c r="A641" s="6">
        <v>639</v>
      </c>
      <c r="B641" s="6" t="str">
        <f t="shared" si="12"/>
        <v>0103</v>
      </c>
      <c r="C641" s="6" t="s">
        <v>14</v>
      </c>
      <c r="D641" s="6" t="str">
        <f>"许春苗"</f>
        <v>许春苗</v>
      </c>
      <c r="E641" s="6" t="str">
        <f>"202409212127"</f>
        <v>202409212127</v>
      </c>
      <c r="F641" s="6" t="str">
        <f>"21"</f>
        <v>21</v>
      </c>
      <c r="G641" s="6" t="str">
        <f>"27"</f>
        <v>27</v>
      </c>
      <c r="H641" s="7">
        <v>41.66</v>
      </c>
      <c r="I641" s="8">
        <v>243</v>
      </c>
      <c r="J641" s="8"/>
    </row>
    <row r="642" spans="1:10">
      <c r="A642" s="6">
        <v>640</v>
      </c>
      <c r="B642" s="6" t="str">
        <f t="shared" si="12"/>
        <v>0103</v>
      </c>
      <c r="C642" s="6" t="s">
        <v>14</v>
      </c>
      <c r="D642" s="6" t="str">
        <f>"林安娜"</f>
        <v>林安娜</v>
      </c>
      <c r="E642" s="6" t="str">
        <f>"202409212326"</f>
        <v>202409212326</v>
      </c>
      <c r="F642" s="6" t="str">
        <f>"23"</f>
        <v>23</v>
      </c>
      <c r="G642" s="6" t="str">
        <f>"26"</f>
        <v>26</v>
      </c>
      <c r="H642" s="7">
        <v>40.87</v>
      </c>
      <c r="I642" s="8">
        <v>244</v>
      </c>
      <c r="J642" s="8"/>
    </row>
    <row r="643" spans="1:10">
      <c r="A643" s="6">
        <v>641</v>
      </c>
      <c r="B643" s="6" t="str">
        <f t="shared" si="12"/>
        <v>0103</v>
      </c>
      <c r="C643" s="6" t="s">
        <v>14</v>
      </c>
      <c r="D643" s="6" t="str">
        <f>"林小丽"</f>
        <v>林小丽</v>
      </c>
      <c r="E643" s="6" t="str">
        <f>"202409211509"</f>
        <v>202409211509</v>
      </c>
      <c r="F643" s="6" t="str">
        <f>"15"</f>
        <v>15</v>
      </c>
      <c r="G643" s="6" t="str">
        <f>"09"</f>
        <v>09</v>
      </c>
      <c r="H643" s="7">
        <v>40.78</v>
      </c>
      <c r="I643" s="8">
        <v>245</v>
      </c>
      <c r="J643" s="8"/>
    </row>
    <row r="644" spans="1:10">
      <c r="A644" s="6">
        <v>642</v>
      </c>
      <c r="B644" s="6" t="str">
        <f t="shared" si="12"/>
        <v>0103</v>
      </c>
      <c r="C644" s="6" t="s">
        <v>14</v>
      </c>
      <c r="D644" s="6" t="str">
        <f>"陈禄爱"</f>
        <v>陈禄爱</v>
      </c>
      <c r="E644" s="6" t="str">
        <f>"202409212316"</f>
        <v>202409212316</v>
      </c>
      <c r="F644" s="6" t="str">
        <f>"23"</f>
        <v>23</v>
      </c>
      <c r="G644" s="6" t="str">
        <f>"16"</f>
        <v>16</v>
      </c>
      <c r="H644" s="7">
        <v>40.74</v>
      </c>
      <c r="I644" s="8">
        <v>246</v>
      </c>
      <c r="J644" s="8"/>
    </row>
    <row r="645" spans="1:10">
      <c r="A645" s="6">
        <v>643</v>
      </c>
      <c r="B645" s="6" t="str">
        <f t="shared" si="12"/>
        <v>0103</v>
      </c>
      <c r="C645" s="6" t="s">
        <v>14</v>
      </c>
      <c r="D645" s="6" t="str">
        <f>"文晓庭"</f>
        <v>文晓庭</v>
      </c>
      <c r="E645" s="6" t="str">
        <f>"202409212209"</f>
        <v>202409212209</v>
      </c>
      <c r="F645" s="6" t="str">
        <f>"22"</f>
        <v>22</v>
      </c>
      <c r="G645" s="6" t="str">
        <f>"09"</f>
        <v>09</v>
      </c>
      <c r="H645" s="7">
        <v>40.52</v>
      </c>
      <c r="I645" s="8">
        <v>247</v>
      </c>
      <c r="J645" s="8"/>
    </row>
    <row r="646" spans="1:10">
      <c r="A646" s="6">
        <v>644</v>
      </c>
      <c r="B646" s="6" t="str">
        <f t="shared" si="12"/>
        <v>0103</v>
      </c>
      <c r="C646" s="6" t="s">
        <v>14</v>
      </c>
      <c r="D646" s="6" t="str">
        <f>"周晶"</f>
        <v>周晶</v>
      </c>
      <c r="E646" s="6" t="str">
        <f>"202409211924"</f>
        <v>202409211924</v>
      </c>
      <c r="F646" s="6" t="str">
        <f>"19"</f>
        <v>19</v>
      </c>
      <c r="G646" s="6" t="str">
        <f>"24"</f>
        <v>24</v>
      </c>
      <c r="H646" s="7">
        <v>40.18</v>
      </c>
      <c r="I646" s="8">
        <v>248</v>
      </c>
      <c r="J646" s="8"/>
    </row>
    <row r="647" spans="1:10">
      <c r="A647" s="6">
        <v>645</v>
      </c>
      <c r="B647" s="6" t="str">
        <f t="shared" si="12"/>
        <v>0103</v>
      </c>
      <c r="C647" s="6" t="s">
        <v>14</v>
      </c>
      <c r="D647" s="6" t="str">
        <f>"符海榕"</f>
        <v>符海榕</v>
      </c>
      <c r="E647" s="6" t="str">
        <f>"202409212017"</f>
        <v>202409212017</v>
      </c>
      <c r="F647" s="6" t="str">
        <f>"20"</f>
        <v>20</v>
      </c>
      <c r="G647" s="6" t="str">
        <f>"17"</f>
        <v>17</v>
      </c>
      <c r="H647" s="7">
        <v>38.98</v>
      </c>
      <c r="I647" s="8">
        <v>249</v>
      </c>
      <c r="J647" s="8"/>
    </row>
    <row r="648" spans="1:10">
      <c r="A648" s="6">
        <v>646</v>
      </c>
      <c r="B648" s="6" t="str">
        <f t="shared" si="12"/>
        <v>0103</v>
      </c>
      <c r="C648" s="6" t="s">
        <v>14</v>
      </c>
      <c r="D648" s="6" t="str">
        <f>"姚心利"</f>
        <v>姚心利</v>
      </c>
      <c r="E648" s="6" t="str">
        <f>"202409212025"</f>
        <v>202409212025</v>
      </c>
      <c r="F648" s="6" t="str">
        <f>"20"</f>
        <v>20</v>
      </c>
      <c r="G648" s="6" t="str">
        <f>"25"</f>
        <v>25</v>
      </c>
      <c r="H648" s="7">
        <v>38.91</v>
      </c>
      <c r="I648" s="8">
        <v>250</v>
      </c>
      <c r="J648" s="8"/>
    </row>
    <row r="649" spans="1:10">
      <c r="A649" s="6">
        <v>647</v>
      </c>
      <c r="B649" s="6" t="str">
        <f t="shared" si="12"/>
        <v>0103</v>
      </c>
      <c r="C649" s="6" t="s">
        <v>14</v>
      </c>
      <c r="D649" s="6" t="str">
        <f>"万辉良"</f>
        <v>万辉良</v>
      </c>
      <c r="E649" s="6" t="str">
        <f>"202409211904"</f>
        <v>202409211904</v>
      </c>
      <c r="F649" s="6" t="str">
        <f>"19"</f>
        <v>19</v>
      </c>
      <c r="G649" s="6" t="str">
        <f>"04"</f>
        <v>04</v>
      </c>
      <c r="H649" s="7">
        <v>37.58</v>
      </c>
      <c r="I649" s="8">
        <v>251</v>
      </c>
      <c r="J649" s="8"/>
    </row>
    <row r="650" spans="1:10">
      <c r="A650" s="6">
        <v>648</v>
      </c>
      <c r="B650" s="6" t="str">
        <f t="shared" si="12"/>
        <v>0103</v>
      </c>
      <c r="C650" s="6" t="s">
        <v>14</v>
      </c>
      <c r="D650" s="6" t="str">
        <f>"韩小婵"</f>
        <v>韩小婵</v>
      </c>
      <c r="E650" s="6" t="str">
        <f>"202409211819"</f>
        <v>202409211819</v>
      </c>
      <c r="F650" s="6" t="str">
        <f>"18"</f>
        <v>18</v>
      </c>
      <c r="G650" s="6" t="str">
        <f>"19"</f>
        <v>19</v>
      </c>
      <c r="H650" s="7">
        <v>37.54</v>
      </c>
      <c r="I650" s="8">
        <v>252</v>
      </c>
      <c r="J650" s="8"/>
    </row>
    <row r="651" spans="1:10">
      <c r="A651" s="6">
        <v>649</v>
      </c>
      <c r="B651" s="6" t="str">
        <f t="shared" si="12"/>
        <v>0103</v>
      </c>
      <c r="C651" s="6" t="s">
        <v>14</v>
      </c>
      <c r="D651" s="6" t="str">
        <f>"林翠平"</f>
        <v>林翠平</v>
      </c>
      <c r="E651" s="6" t="str">
        <f>"202409212117"</f>
        <v>202409212117</v>
      </c>
      <c r="F651" s="6" t="str">
        <f>"21"</f>
        <v>21</v>
      </c>
      <c r="G651" s="6" t="str">
        <f>"17"</f>
        <v>17</v>
      </c>
      <c r="H651" s="7">
        <v>33.88</v>
      </c>
      <c r="I651" s="8">
        <v>253</v>
      </c>
      <c r="J651" s="8"/>
    </row>
    <row r="652" spans="1:10">
      <c r="A652" s="6">
        <v>650</v>
      </c>
      <c r="B652" s="6" t="str">
        <f t="shared" si="12"/>
        <v>0103</v>
      </c>
      <c r="C652" s="6" t="s">
        <v>14</v>
      </c>
      <c r="D652" s="6" t="str">
        <f>"李小华"</f>
        <v>李小华</v>
      </c>
      <c r="E652" s="6" t="str">
        <f>"202409211505"</f>
        <v>202409211505</v>
      </c>
      <c r="F652" s="6" t="str">
        <f>"15"</f>
        <v>15</v>
      </c>
      <c r="G652" s="6" t="str">
        <f>"05"</f>
        <v>05</v>
      </c>
      <c r="H652" s="7"/>
      <c r="I652" s="8"/>
      <c r="J652" s="8" t="s">
        <v>12</v>
      </c>
    </row>
    <row r="653" spans="1:10">
      <c r="A653" s="6">
        <v>651</v>
      </c>
      <c r="B653" s="6" t="str">
        <f t="shared" si="12"/>
        <v>0103</v>
      </c>
      <c r="C653" s="6" t="s">
        <v>14</v>
      </c>
      <c r="D653" s="6" t="str">
        <f>"羊飘香"</f>
        <v>羊飘香</v>
      </c>
      <c r="E653" s="6" t="str">
        <f>"202409211510"</f>
        <v>202409211510</v>
      </c>
      <c r="F653" s="6" t="str">
        <f>"15"</f>
        <v>15</v>
      </c>
      <c r="G653" s="6" t="str">
        <f>"10"</f>
        <v>10</v>
      </c>
      <c r="H653" s="7"/>
      <c r="I653" s="8"/>
      <c r="J653" s="8" t="s">
        <v>12</v>
      </c>
    </row>
    <row r="654" spans="1:10">
      <c r="A654" s="6">
        <v>652</v>
      </c>
      <c r="B654" s="6" t="str">
        <f t="shared" si="12"/>
        <v>0103</v>
      </c>
      <c r="C654" s="6" t="s">
        <v>14</v>
      </c>
      <c r="D654" s="6" t="str">
        <f>"陈慧"</f>
        <v>陈慧</v>
      </c>
      <c r="E654" s="6" t="str">
        <f>"202409211511"</f>
        <v>202409211511</v>
      </c>
      <c r="F654" s="6" t="str">
        <f>"15"</f>
        <v>15</v>
      </c>
      <c r="G654" s="6" t="str">
        <f>"11"</f>
        <v>11</v>
      </c>
      <c r="H654" s="7"/>
      <c r="I654" s="8"/>
      <c r="J654" s="8" t="s">
        <v>12</v>
      </c>
    </row>
    <row r="655" spans="1:10">
      <c r="A655" s="6">
        <v>653</v>
      </c>
      <c r="B655" s="6" t="str">
        <f t="shared" ref="B655:B691" si="13">"0103"</f>
        <v>0103</v>
      </c>
      <c r="C655" s="6" t="s">
        <v>14</v>
      </c>
      <c r="D655" s="6" t="str">
        <f>"罗晶"</f>
        <v>罗晶</v>
      </c>
      <c r="E655" s="6" t="str">
        <f>"202409211610"</f>
        <v>202409211610</v>
      </c>
      <c r="F655" s="6" t="str">
        <f>"16"</f>
        <v>16</v>
      </c>
      <c r="G655" s="6" t="str">
        <f>"10"</f>
        <v>10</v>
      </c>
      <c r="H655" s="7"/>
      <c r="I655" s="8"/>
      <c r="J655" s="8" t="s">
        <v>12</v>
      </c>
    </row>
    <row r="656" spans="1:10">
      <c r="A656" s="6">
        <v>654</v>
      </c>
      <c r="B656" s="6" t="str">
        <f t="shared" si="13"/>
        <v>0103</v>
      </c>
      <c r="C656" s="6" t="s">
        <v>14</v>
      </c>
      <c r="D656" s="6" t="str">
        <f>"陈晓绯"</f>
        <v>陈晓绯</v>
      </c>
      <c r="E656" s="6" t="str">
        <f>"202409211617"</f>
        <v>202409211617</v>
      </c>
      <c r="F656" s="6" t="str">
        <f>"16"</f>
        <v>16</v>
      </c>
      <c r="G656" s="6" t="str">
        <f>"17"</f>
        <v>17</v>
      </c>
      <c r="H656" s="7"/>
      <c r="I656" s="8"/>
      <c r="J656" s="8" t="s">
        <v>12</v>
      </c>
    </row>
    <row r="657" spans="1:10">
      <c r="A657" s="6">
        <v>655</v>
      </c>
      <c r="B657" s="6" t="str">
        <f t="shared" si="13"/>
        <v>0103</v>
      </c>
      <c r="C657" s="6" t="s">
        <v>14</v>
      </c>
      <c r="D657" s="6" t="str">
        <f>"陈毓羽"</f>
        <v>陈毓羽</v>
      </c>
      <c r="E657" s="6" t="str">
        <f>"202409211625"</f>
        <v>202409211625</v>
      </c>
      <c r="F657" s="6" t="str">
        <f>"16"</f>
        <v>16</v>
      </c>
      <c r="G657" s="6" t="str">
        <f>"25"</f>
        <v>25</v>
      </c>
      <c r="H657" s="7"/>
      <c r="I657" s="8"/>
      <c r="J657" s="8" t="s">
        <v>12</v>
      </c>
    </row>
    <row r="658" spans="1:10">
      <c r="A658" s="6">
        <v>656</v>
      </c>
      <c r="B658" s="6" t="str">
        <f t="shared" si="13"/>
        <v>0103</v>
      </c>
      <c r="C658" s="6" t="s">
        <v>14</v>
      </c>
      <c r="D658" s="6" t="str">
        <f>"覃小幸"</f>
        <v>覃小幸</v>
      </c>
      <c r="E658" s="6" t="str">
        <f>"202409211712"</f>
        <v>202409211712</v>
      </c>
      <c r="F658" s="6" t="str">
        <f>"17"</f>
        <v>17</v>
      </c>
      <c r="G658" s="6" t="str">
        <f>"12"</f>
        <v>12</v>
      </c>
      <c r="H658" s="7"/>
      <c r="I658" s="8"/>
      <c r="J658" s="8" t="s">
        <v>12</v>
      </c>
    </row>
    <row r="659" spans="1:10">
      <c r="A659" s="6">
        <v>657</v>
      </c>
      <c r="B659" s="6" t="str">
        <f t="shared" si="13"/>
        <v>0103</v>
      </c>
      <c r="C659" s="6" t="s">
        <v>14</v>
      </c>
      <c r="D659" s="6" t="str">
        <f>"曾带秋"</f>
        <v>曾带秋</v>
      </c>
      <c r="E659" s="6" t="str">
        <f>"202409211713"</f>
        <v>202409211713</v>
      </c>
      <c r="F659" s="6" t="str">
        <f>"17"</f>
        <v>17</v>
      </c>
      <c r="G659" s="6" t="str">
        <f>"13"</f>
        <v>13</v>
      </c>
      <c r="H659" s="7"/>
      <c r="I659" s="8"/>
      <c r="J659" s="8" t="s">
        <v>12</v>
      </c>
    </row>
    <row r="660" spans="1:10">
      <c r="A660" s="6">
        <v>658</v>
      </c>
      <c r="B660" s="6" t="str">
        <f t="shared" si="13"/>
        <v>0103</v>
      </c>
      <c r="C660" s="6" t="s">
        <v>14</v>
      </c>
      <c r="D660" s="6" t="str">
        <f>"陈慧妹"</f>
        <v>陈慧妹</v>
      </c>
      <c r="E660" s="6" t="str">
        <f>"202409211727"</f>
        <v>202409211727</v>
      </c>
      <c r="F660" s="6" t="str">
        <f>"17"</f>
        <v>17</v>
      </c>
      <c r="G660" s="6" t="str">
        <f>"27"</f>
        <v>27</v>
      </c>
      <c r="H660" s="7"/>
      <c r="I660" s="8"/>
      <c r="J660" s="8" t="s">
        <v>12</v>
      </c>
    </row>
    <row r="661" spans="1:10">
      <c r="A661" s="6">
        <v>659</v>
      </c>
      <c r="B661" s="6" t="str">
        <f t="shared" si="13"/>
        <v>0103</v>
      </c>
      <c r="C661" s="6" t="s">
        <v>14</v>
      </c>
      <c r="D661" s="6" t="str">
        <f>"林秋风"</f>
        <v>林秋风</v>
      </c>
      <c r="E661" s="6" t="str">
        <f>"202409211803"</f>
        <v>202409211803</v>
      </c>
      <c r="F661" s="6" t="str">
        <f t="shared" ref="F661:F666" si="14">"18"</f>
        <v>18</v>
      </c>
      <c r="G661" s="6" t="str">
        <f>"03"</f>
        <v>03</v>
      </c>
      <c r="H661" s="7"/>
      <c r="I661" s="8"/>
      <c r="J661" s="8" t="s">
        <v>12</v>
      </c>
    </row>
    <row r="662" spans="1:10">
      <c r="A662" s="6">
        <v>660</v>
      </c>
      <c r="B662" s="6" t="str">
        <f t="shared" si="13"/>
        <v>0103</v>
      </c>
      <c r="C662" s="6" t="s">
        <v>14</v>
      </c>
      <c r="D662" s="6" t="str">
        <f>"陈静"</f>
        <v>陈静</v>
      </c>
      <c r="E662" s="6" t="str">
        <f>"202409211809"</f>
        <v>202409211809</v>
      </c>
      <c r="F662" s="6" t="str">
        <f t="shared" si="14"/>
        <v>18</v>
      </c>
      <c r="G662" s="6" t="str">
        <f>"09"</f>
        <v>09</v>
      </c>
      <c r="H662" s="7"/>
      <c r="I662" s="8"/>
      <c r="J662" s="8" t="s">
        <v>12</v>
      </c>
    </row>
    <row r="663" spans="1:10">
      <c r="A663" s="6">
        <v>661</v>
      </c>
      <c r="B663" s="6" t="str">
        <f t="shared" si="13"/>
        <v>0103</v>
      </c>
      <c r="C663" s="6" t="s">
        <v>14</v>
      </c>
      <c r="D663" s="6" t="str">
        <f>"王江文"</f>
        <v>王江文</v>
      </c>
      <c r="E663" s="6" t="str">
        <f>"202409211811"</f>
        <v>202409211811</v>
      </c>
      <c r="F663" s="6" t="str">
        <f t="shared" si="14"/>
        <v>18</v>
      </c>
      <c r="G663" s="6" t="str">
        <f>"11"</f>
        <v>11</v>
      </c>
      <c r="H663" s="7"/>
      <c r="I663" s="8"/>
      <c r="J663" s="8" t="s">
        <v>12</v>
      </c>
    </row>
    <row r="664" spans="1:10">
      <c r="A664" s="6">
        <v>662</v>
      </c>
      <c r="B664" s="6" t="str">
        <f t="shared" si="13"/>
        <v>0103</v>
      </c>
      <c r="C664" s="6" t="s">
        <v>14</v>
      </c>
      <c r="D664" s="6" t="str">
        <f>"石丽川"</f>
        <v>石丽川</v>
      </c>
      <c r="E664" s="6" t="str">
        <f>"202409211815"</f>
        <v>202409211815</v>
      </c>
      <c r="F664" s="6" t="str">
        <f t="shared" si="14"/>
        <v>18</v>
      </c>
      <c r="G664" s="6" t="str">
        <f>"15"</f>
        <v>15</v>
      </c>
      <c r="H664" s="7"/>
      <c r="I664" s="8"/>
      <c r="J664" s="8" t="s">
        <v>12</v>
      </c>
    </row>
    <row r="665" spans="1:10">
      <c r="A665" s="6">
        <v>663</v>
      </c>
      <c r="B665" s="6" t="str">
        <f t="shared" si="13"/>
        <v>0103</v>
      </c>
      <c r="C665" s="6" t="s">
        <v>14</v>
      </c>
      <c r="D665" s="6" t="str">
        <f>"许小青"</f>
        <v>许小青</v>
      </c>
      <c r="E665" s="6" t="str">
        <f>"202409211821"</f>
        <v>202409211821</v>
      </c>
      <c r="F665" s="6" t="str">
        <f t="shared" si="14"/>
        <v>18</v>
      </c>
      <c r="G665" s="6" t="str">
        <f>"21"</f>
        <v>21</v>
      </c>
      <c r="H665" s="7"/>
      <c r="I665" s="8"/>
      <c r="J665" s="8" t="s">
        <v>12</v>
      </c>
    </row>
    <row r="666" spans="1:10">
      <c r="A666" s="6">
        <v>664</v>
      </c>
      <c r="B666" s="6" t="str">
        <f t="shared" si="13"/>
        <v>0103</v>
      </c>
      <c r="C666" s="6" t="s">
        <v>14</v>
      </c>
      <c r="D666" s="6" t="str">
        <f>"符靖"</f>
        <v>符靖</v>
      </c>
      <c r="E666" s="6" t="str">
        <f>"202409211830"</f>
        <v>202409211830</v>
      </c>
      <c r="F666" s="6" t="str">
        <f t="shared" si="14"/>
        <v>18</v>
      </c>
      <c r="G666" s="6" t="str">
        <f>"30"</f>
        <v>30</v>
      </c>
      <c r="H666" s="7"/>
      <c r="I666" s="8"/>
      <c r="J666" s="8" t="s">
        <v>12</v>
      </c>
    </row>
    <row r="667" spans="1:10">
      <c r="A667" s="6">
        <v>665</v>
      </c>
      <c r="B667" s="6" t="str">
        <f t="shared" si="13"/>
        <v>0103</v>
      </c>
      <c r="C667" s="6" t="s">
        <v>14</v>
      </c>
      <c r="D667" s="6" t="str">
        <f>"林文丽"</f>
        <v>林文丽</v>
      </c>
      <c r="E667" s="6" t="str">
        <f>"202409211906"</f>
        <v>202409211906</v>
      </c>
      <c r="F667" s="6" t="str">
        <f>"19"</f>
        <v>19</v>
      </c>
      <c r="G667" s="6" t="str">
        <f>"06"</f>
        <v>06</v>
      </c>
      <c r="H667" s="7"/>
      <c r="I667" s="8"/>
      <c r="J667" s="8" t="s">
        <v>12</v>
      </c>
    </row>
    <row r="668" spans="1:10">
      <c r="A668" s="6">
        <v>666</v>
      </c>
      <c r="B668" s="6" t="str">
        <f t="shared" si="13"/>
        <v>0103</v>
      </c>
      <c r="C668" s="6" t="s">
        <v>14</v>
      </c>
      <c r="D668" s="6" t="str">
        <f>"游象琼"</f>
        <v>游象琼</v>
      </c>
      <c r="E668" s="6" t="str">
        <f>"202409211907"</f>
        <v>202409211907</v>
      </c>
      <c r="F668" s="6" t="str">
        <f>"19"</f>
        <v>19</v>
      </c>
      <c r="G668" s="6" t="str">
        <f>"07"</f>
        <v>07</v>
      </c>
      <c r="H668" s="7"/>
      <c r="I668" s="8"/>
      <c r="J668" s="8" t="s">
        <v>12</v>
      </c>
    </row>
    <row r="669" spans="1:10">
      <c r="A669" s="6">
        <v>667</v>
      </c>
      <c r="B669" s="6" t="str">
        <f t="shared" si="13"/>
        <v>0103</v>
      </c>
      <c r="C669" s="6" t="s">
        <v>14</v>
      </c>
      <c r="D669" s="6" t="str">
        <f>"盛国冰"</f>
        <v>盛国冰</v>
      </c>
      <c r="E669" s="6" t="str">
        <f>"202409211926"</f>
        <v>202409211926</v>
      </c>
      <c r="F669" s="6" t="str">
        <f>"19"</f>
        <v>19</v>
      </c>
      <c r="G669" s="6" t="str">
        <f>"26"</f>
        <v>26</v>
      </c>
      <c r="H669" s="7"/>
      <c r="I669" s="8"/>
      <c r="J669" s="8" t="s">
        <v>12</v>
      </c>
    </row>
    <row r="670" spans="1:10">
      <c r="A670" s="6">
        <v>668</v>
      </c>
      <c r="B670" s="6" t="str">
        <f t="shared" si="13"/>
        <v>0103</v>
      </c>
      <c r="C670" s="6" t="s">
        <v>14</v>
      </c>
      <c r="D670" s="6" t="str">
        <f>"符月"</f>
        <v>符月</v>
      </c>
      <c r="E670" s="6" t="str">
        <f>"202409211930"</f>
        <v>202409211930</v>
      </c>
      <c r="F670" s="6" t="str">
        <f>"19"</f>
        <v>19</v>
      </c>
      <c r="G670" s="6" t="str">
        <f>"30"</f>
        <v>30</v>
      </c>
      <c r="H670" s="7"/>
      <c r="I670" s="8"/>
      <c r="J670" s="8" t="s">
        <v>12</v>
      </c>
    </row>
    <row r="671" spans="1:10">
      <c r="A671" s="6">
        <v>669</v>
      </c>
      <c r="B671" s="6" t="str">
        <f t="shared" si="13"/>
        <v>0103</v>
      </c>
      <c r="C671" s="6" t="s">
        <v>14</v>
      </c>
      <c r="D671" s="6" t="str">
        <f>"范春丽"</f>
        <v>范春丽</v>
      </c>
      <c r="E671" s="6" t="str">
        <f>"202409212011"</f>
        <v>202409212011</v>
      </c>
      <c r="F671" s="6" t="str">
        <f>"20"</f>
        <v>20</v>
      </c>
      <c r="G671" s="6" t="str">
        <f>"11"</f>
        <v>11</v>
      </c>
      <c r="H671" s="7"/>
      <c r="I671" s="8"/>
      <c r="J671" s="8" t="s">
        <v>12</v>
      </c>
    </row>
    <row r="672" spans="1:10">
      <c r="A672" s="6">
        <v>670</v>
      </c>
      <c r="B672" s="6" t="str">
        <f t="shared" si="13"/>
        <v>0103</v>
      </c>
      <c r="C672" s="6" t="s">
        <v>14</v>
      </c>
      <c r="D672" s="6" t="str">
        <f>"孙水晶"</f>
        <v>孙水晶</v>
      </c>
      <c r="E672" s="6" t="str">
        <f>"202409212018"</f>
        <v>202409212018</v>
      </c>
      <c r="F672" s="6" t="str">
        <f>"20"</f>
        <v>20</v>
      </c>
      <c r="G672" s="6" t="str">
        <f>"18"</f>
        <v>18</v>
      </c>
      <c r="H672" s="7"/>
      <c r="I672" s="8"/>
      <c r="J672" s="8" t="s">
        <v>12</v>
      </c>
    </row>
    <row r="673" spans="1:10">
      <c r="A673" s="6">
        <v>671</v>
      </c>
      <c r="B673" s="6" t="str">
        <f t="shared" si="13"/>
        <v>0103</v>
      </c>
      <c r="C673" s="6" t="s">
        <v>14</v>
      </c>
      <c r="D673" s="6" t="str">
        <f>"肖琼芳"</f>
        <v>肖琼芳</v>
      </c>
      <c r="E673" s="6" t="str">
        <f>"202409212019"</f>
        <v>202409212019</v>
      </c>
      <c r="F673" s="6" t="str">
        <f>"20"</f>
        <v>20</v>
      </c>
      <c r="G673" s="6" t="str">
        <f>"19"</f>
        <v>19</v>
      </c>
      <c r="H673" s="7"/>
      <c r="I673" s="8"/>
      <c r="J673" s="8" t="s">
        <v>12</v>
      </c>
    </row>
    <row r="674" spans="1:10">
      <c r="A674" s="6">
        <v>672</v>
      </c>
      <c r="B674" s="6" t="str">
        <f t="shared" si="13"/>
        <v>0103</v>
      </c>
      <c r="C674" s="6" t="s">
        <v>14</v>
      </c>
      <c r="D674" s="6" t="str">
        <f>"林慧"</f>
        <v>林慧</v>
      </c>
      <c r="E674" s="6" t="str">
        <f>"202409212020"</f>
        <v>202409212020</v>
      </c>
      <c r="F674" s="6" t="str">
        <f>"20"</f>
        <v>20</v>
      </c>
      <c r="G674" s="6" t="str">
        <f>"20"</f>
        <v>20</v>
      </c>
      <c r="H674" s="7"/>
      <c r="I674" s="8"/>
      <c r="J674" s="8" t="s">
        <v>12</v>
      </c>
    </row>
    <row r="675" spans="1:10">
      <c r="A675" s="6">
        <v>673</v>
      </c>
      <c r="B675" s="6" t="str">
        <f t="shared" si="13"/>
        <v>0103</v>
      </c>
      <c r="C675" s="6" t="s">
        <v>14</v>
      </c>
      <c r="D675" s="6" t="str">
        <f>"黄丽琼"</f>
        <v>黄丽琼</v>
      </c>
      <c r="E675" s="6" t="str">
        <f>"202409212023"</f>
        <v>202409212023</v>
      </c>
      <c r="F675" s="6" t="str">
        <f>"20"</f>
        <v>20</v>
      </c>
      <c r="G675" s="6" t="str">
        <f>"23"</f>
        <v>23</v>
      </c>
      <c r="H675" s="7"/>
      <c r="I675" s="8"/>
      <c r="J675" s="8" t="s">
        <v>12</v>
      </c>
    </row>
    <row r="676" spans="1:10">
      <c r="A676" s="6">
        <v>674</v>
      </c>
      <c r="B676" s="6" t="str">
        <f t="shared" si="13"/>
        <v>0103</v>
      </c>
      <c r="C676" s="6" t="s">
        <v>14</v>
      </c>
      <c r="D676" s="6" t="str">
        <f>"陈影霞"</f>
        <v>陈影霞</v>
      </c>
      <c r="E676" s="6" t="str">
        <f>"202409212125"</f>
        <v>202409212125</v>
      </c>
      <c r="F676" s="6" t="str">
        <f>"21"</f>
        <v>21</v>
      </c>
      <c r="G676" s="6" t="str">
        <f>"25"</f>
        <v>25</v>
      </c>
      <c r="H676" s="7"/>
      <c r="I676" s="8"/>
      <c r="J676" s="8" t="s">
        <v>12</v>
      </c>
    </row>
    <row r="677" spans="1:10">
      <c r="A677" s="6">
        <v>675</v>
      </c>
      <c r="B677" s="6" t="str">
        <f t="shared" si="13"/>
        <v>0103</v>
      </c>
      <c r="C677" s="6" t="s">
        <v>14</v>
      </c>
      <c r="D677" s="6" t="str">
        <f>"羊彩联"</f>
        <v>羊彩联</v>
      </c>
      <c r="E677" s="6" t="str">
        <f>"202409212126"</f>
        <v>202409212126</v>
      </c>
      <c r="F677" s="6" t="str">
        <f>"21"</f>
        <v>21</v>
      </c>
      <c r="G677" s="6" t="str">
        <f>"26"</f>
        <v>26</v>
      </c>
      <c r="H677" s="7"/>
      <c r="I677" s="8"/>
      <c r="J677" s="8" t="s">
        <v>12</v>
      </c>
    </row>
    <row r="678" spans="1:10">
      <c r="A678" s="6">
        <v>676</v>
      </c>
      <c r="B678" s="6" t="str">
        <f t="shared" si="13"/>
        <v>0103</v>
      </c>
      <c r="C678" s="6" t="s">
        <v>14</v>
      </c>
      <c r="D678" s="6" t="str">
        <f>"吴小莹"</f>
        <v>吴小莹</v>
      </c>
      <c r="E678" s="6" t="str">
        <f>"202409212203"</f>
        <v>202409212203</v>
      </c>
      <c r="F678" s="6" t="str">
        <f t="shared" ref="F678:F686" si="15">"22"</f>
        <v>22</v>
      </c>
      <c r="G678" s="6" t="str">
        <f>"03"</f>
        <v>03</v>
      </c>
      <c r="H678" s="7"/>
      <c r="I678" s="8"/>
      <c r="J678" s="8" t="s">
        <v>12</v>
      </c>
    </row>
    <row r="679" spans="1:10">
      <c r="A679" s="6">
        <v>677</v>
      </c>
      <c r="B679" s="6" t="str">
        <f t="shared" si="13"/>
        <v>0103</v>
      </c>
      <c r="C679" s="6" t="s">
        <v>14</v>
      </c>
      <c r="D679" s="6" t="str">
        <f>"林小莹"</f>
        <v>林小莹</v>
      </c>
      <c r="E679" s="6" t="str">
        <f>"202409212207"</f>
        <v>202409212207</v>
      </c>
      <c r="F679" s="6" t="str">
        <f t="shared" si="15"/>
        <v>22</v>
      </c>
      <c r="G679" s="6" t="str">
        <f>"07"</f>
        <v>07</v>
      </c>
      <c r="H679" s="7"/>
      <c r="I679" s="8"/>
      <c r="J679" s="8" t="s">
        <v>12</v>
      </c>
    </row>
    <row r="680" spans="1:10">
      <c r="A680" s="6">
        <v>678</v>
      </c>
      <c r="B680" s="6" t="str">
        <f t="shared" si="13"/>
        <v>0103</v>
      </c>
      <c r="C680" s="6" t="s">
        <v>14</v>
      </c>
      <c r="D680" s="6" t="str">
        <f>"岑书月"</f>
        <v>岑书月</v>
      </c>
      <c r="E680" s="6" t="str">
        <f>"202409212211"</f>
        <v>202409212211</v>
      </c>
      <c r="F680" s="6" t="str">
        <f t="shared" si="15"/>
        <v>22</v>
      </c>
      <c r="G680" s="6" t="str">
        <f>"11"</f>
        <v>11</v>
      </c>
      <c r="H680" s="7"/>
      <c r="I680" s="8"/>
      <c r="J680" s="8" t="s">
        <v>12</v>
      </c>
    </row>
    <row r="681" spans="1:10">
      <c r="A681" s="6">
        <v>679</v>
      </c>
      <c r="B681" s="6" t="str">
        <f t="shared" si="13"/>
        <v>0103</v>
      </c>
      <c r="C681" s="6" t="s">
        <v>14</v>
      </c>
      <c r="D681" s="6" t="str">
        <f>"杨雪"</f>
        <v>杨雪</v>
      </c>
      <c r="E681" s="6" t="str">
        <f>"202409212213"</f>
        <v>202409212213</v>
      </c>
      <c r="F681" s="6" t="str">
        <f t="shared" si="15"/>
        <v>22</v>
      </c>
      <c r="G681" s="6" t="str">
        <f>"13"</f>
        <v>13</v>
      </c>
      <c r="H681" s="7"/>
      <c r="I681" s="8"/>
      <c r="J681" s="8" t="s">
        <v>12</v>
      </c>
    </row>
    <row r="682" spans="1:10">
      <c r="A682" s="6">
        <v>680</v>
      </c>
      <c r="B682" s="6" t="str">
        <f t="shared" si="13"/>
        <v>0103</v>
      </c>
      <c r="C682" s="6" t="s">
        <v>14</v>
      </c>
      <c r="D682" s="6" t="str">
        <f>"许萧萧"</f>
        <v>许萧萧</v>
      </c>
      <c r="E682" s="6" t="str">
        <f>"202409212216"</f>
        <v>202409212216</v>
      </c>
      <c r="F682" s="6" t="str">
        <f t="shared" si="15"/>
        <v>22</v>
      </c>
      <c r="G682" s="6" t="str">
        <f>"16"</f>
        <v>16</v>
      </c>
      <c r="H682" s="7"/>
      <c r="I682" s="8"/>
      <c r="J682" s="8" t="s">
        <v>12</v>
      </c>
    </row>
    <row r="683" spans="1:10">
      <c r="A683" s="6">
        <v>681</v>
      </c>
      <c r="B683" s="6" t="str">
        <f t="shared" si="13"/>
        <v>0103</v>
      </c>
      <c r="C683" s="6" t="s">
        <v>14</v>
      </c>
      <c r="D683" s="6" t="str">
        <f>"李佳玉"</f>
        <v>李佳玉</v>
      </c>
      <c r="E683" s="6" t="str">
        <f>"202409212218"</f>
        <v>202409212218</v>
      </c>
      <c r="F683" s="6" t="str">
        <f t="shared" si="15"/>
        <v>22</v>
      </c>
      <c r="G683" s="6" t="str">
        <f>"18"</f>
        <v>18</v>
      </c>
      <c r="H683" s="7"/>
      <c r="I683" s="8"/>
      <c r="J683" s="8" t="s">
        <v>12</v>
      </c>
    </row>
    <row r="684" spans="1:10">
      <c r="A684" s="6">
        <v>682</v>
      </c>
      <c r="B684" s="6" t="str">
        <f t="shared" si="13"/>
        <v>0103</v>
      </c>
      <c r="C684" s="6" t="s">
        <v>14</v>
      </c>
      <c r="D684" s="6" t="str">
        <f>"裴惠润"</f>
        <v>裴惠润</v>
      </c>
      <c r="E684" s="6" t="str">
        <f>"202409212223"</f>
        <v>202409212223</v>
      </c>
      <c r="F684" s="6" t="str">
        <f t="shared" si="15"/>
        <v>22</v>
      </c>
      <c r="G684" s="6" t="str">
        <f>"23"</f>
        <v>23</v>
      </c>
      <c r="H684" s="7"/>
      <c r="I684" s="8"/>
      <c r="J684" s="8" t="s">
        <v>12</v>
      </c>
    </row>
    <row r="685" spans="1:10">
      <c r="A685" s="6">
        <v>683</v>
      </c>
      <c r="B685" s="6" t="str">
        <f t="shared" si="13"/>
        <v>0103</v>
      </c>
      <c r="C685" s="6" t="s">
        <v>14</v>
      </c>
      <c r="D685" s="6" t="str">
        <f>"陈紫靖"</f>
        <v>陈紫靖</v>
      </c>
      <c r="E685" s="6" t="str">
        <f>"202409212228"</f>
        <v>202409212228</v>
      </c>
      <c r="F685" s="6" t="str">
        <f t="shared" si="15"/>
        <v>22</v>
      </c>
      <c r="G685" s="6" t="str">
        <f>"28"</f>
        <v>28</v>
      </c>
      <c r="H685" s="7"/>
      <c r="I685" s="8"/>
      <c r="J685" s="8" t="s">
        <v>12</v>
      </c>
    </row>
    <row r="686" spans="1:10">
      <c r="A686" s="6">
        <v>684</v>
      </c>
      <c r="B686" s="6" t="str">
        <f t="shared" si="13"/>
        <v>0103</v>
      </c>
      <c r="C686" s="6" t="s">
        <v>14</v>
      </c>
      <c r="D686" s="6" t="str">
        <f>"符慧宁"</f>
        <v>符慧宁</v>
      </c>
      <c r="E686" s="6" t="str">
        <f>"202409212230"</f>
        <v>202409212230</v>
      </c>
      <c r="F686" s="6" t="str">
        <f t="shared" si="15"/>
        <v>22</v>
      </c>
      <c r="G686" s="6" t="str">
        <f>"30"</f>
        <v>30</v>
      </c>
      <c r="H686" s="7"/>
      <c r="I686" s="8"/>
      <c r="J686" s="8" t="s">
        <v>12</v>
      </c>
    </row>
    <row r="687" spans="1:10">
      <c r="A687" s="6">
        <v>685</v>
      </c>
      <c r="B687" s="6" t="str">
        <f t="shared" si="13"/>
        <v>0103</v>
      </c>
      <c r="C687" s="6" t="s">
        <v>14</v>
      </c>
      <c r="D687" s="6" t="str">
        <f>"洪文妃"</f>
        <v>洪文妃</v>
      </c>
      <c r="E687" s="6" t="str">
        <f>"202409212307"</f>
        <v>202409212307</v>
      </c>
      <c r="F687" s="6" t="str">
        <f>"23"</f>
        <v>23</v>
      </c>
      <c r="G687" s="6" t="str">
        <f>"07"</f>
        <v>07</v>
      </c>
      <c r="H687" s="7"/>
      <c r="I687" s="8"/>
      <c r="J687" s="8" t="s">
        <v>12</v>
      </c>
    </row>
    <row r="688" spans="1:10">
      <c r="A688" s="6">
        <v>686</v>
      </c>
      <c r="B688" s="6" t="str">
        <f t="shared" si="13"/>
        <v>0103</v>
      </c>
      <c r="C688" s="6" t="s">
        <v>14</v>
      </c>
      <c r="D688" s="6" t="str">
        <f>"陈颖"</f>
        <v>陈颖</v>
      </c>
      <c r="E688" s="6" t="str">
        <f>"202409212318"</f>
        <v>202409212318</v>
      </c>
      <c r="F688" s="6" t="str">
        <f>"23"</f>
        <v>23</v>
      </c>
      <c r="G688" s="6" t="str">
        <f>"18"</f>
        <v>18</v>
      </c>
      <c r="H688" s="7"/>
      <c r="I688" s="8"/>
      <c r="J688" s="8" t="s">
        <v>12</v>
      </c>
    </row>
    <row r="689" spans="1:10">
      <c r="A689" s="6">
        <v>687</v>
      </c>
      <c r="B689" s="6" t="str">
        <f t="shared" si="13"/>
        <v>0103</v>
      </c>
      <c r="C689" s="6" t="s">
        <v>14</v>
      </c>
      <c r="D689" s="6" t="str">
        <f>"梁秀欢"</f>
        <v>梁秀欢</v>
      </c>
      <c r="E689" s="6" t="str">
        <f>"202409212319"</f>
        <v>202409212319</v>
      </c>
      <c r="F689" s="6" t="str">
        <f>"23"</f>
        <v>23</v>
      </c>
      <c r="G689" s="6" t="str">
        <f>"19"</f>
        <v>19</v>
      </c>
      <c r="H689" s="7"/>
      <c r="I689" s="8"/>
      <c r="J689" s="8" t="s">
        <v>12</v>
      </c>
    </row>
    <row r="690" spans="1:10">
      <c r="A690" s="6">
        <v>688</v>
      </c>
      <c r="B690" s="6" t="str">
        <f t="shared" si="13"/>
        <v>0103</v>
      </c>
      <c r="C690" s="6" t="s">
        <v>14</v>
      </c>
      <c r="D690" s="6" t="str">
        <f>"洪晓丹"</f>
        <v>洪晓丹</v>
      </c>
      <c r="E690" s="6" t="str">
        <f>"202409212320"</f>
        <v>202409212320</v>
      </c>
      <c r="F690" s="6" t="str">
        <f>"23"</f>
        <v>23</v>
      </c>
      <c r="G690" s="6" t="str">
        <f>"20"</f>
        <v>20</v>
      </c>
      <c r="H690" s="7"/>
      <c r="I690" s="8"/>
      <c r="J690" s="8" t="s">
        <v>12</v>
      </c>
    </row>
    <row r="691" spans="1:10">
      <c r="A691" s="6">
        <v>689</v>
      </c>
      <c r="B691" s="6" t="str">
        <f t="shared" si="13"/>
        <v>0103</v>
      </c>
      <c r="C691" s="6" t="s">
        <v>14</v>
      </c>
      <c r="D691" s="6" t="str">
        <f>"陈婧"</f>
        <v>陈婧</v>
      </c>
      <c r="E691" s="6" t="str">
        <f>"202409212324"</f>
        <v>202409212324</v>
      </c>
      <c r="F691" s="6" t="str">
        <f>"23"</f>
        <v>23</v>
      </c>
      <c r="G691" s="6" t="str">
        <f>"24"</f>
        <v>24</v>
      </c>
      <c r="H691" s="7"/>
      <c r="I691" s="8"/>
      <c r="J691" s="8" t="s">
        <v>12</v>
      </c>
    </row>
    <row r="693" spans="7:10">
      <c r="G693" s="9" t="s">
        <v>15</v>
      </c>
      <c r="H693" s="9"/>
      <c r="I693" s="9"/>
      <c r="J693" s="9"/>
    </row>
  </sheetData>
  <mergeCells count="2">
    <mergeCell ref="A1:J1"/>
    <mergeCell ref="G693:J69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2024-10-10T03:27:00Z</dcterms:created>
  <dcterms:modified xsi:type="dcterms:W3CDTF">2024-10-11T07:06:18Z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